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MCWE-Projects\Texas Stream Team\4-CSA\Supplies &amp; Equipment\"/>
    </mc:Choice>
  </mc:AlternateContent>
  <xr:revisionPtr revIDLastSave="0" documentId="13_ncr:1_{493C412F-B6BE-4E59-AA72-F6DFF3C0184B}" xr6:coauthVersionLast="47" xr6:coauthVersionMax="47" xr10:uidLastSave="{00000000-0000-0000-0000-000000000000}"/>
  <bookViews>
    <workbookView xWindow="-108" yWindow="-108" windowWidth="23256" windowHeight="12456" xr2:uid="{EBF68079-F59C-45A9-A087-85184EB76C73}"/>
  </bookViews>
  <sheets>
    <sheet name="Instructions" sheetId="7" r:id="rId1"/>
    <sheet name="Standard Core" sheetId="1" r:id="rId2"/>
    <sheet name="Probe Core" sheetId="6" r:id="rId3"/>
    <sheet name="E. coli Bacteria" sheetId="2" r:id="rId4"/>
    <sheet name="Optical Brightener" sheetId="5" r:id="rId5"/>
    <sheet name="Advanced" sheetId="3" r:id="rId6"/>
    <sheet name="Reagent Longevity"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5" l="1"/>
  <c r="E14" i="5"/>
  <c r="E55" i="3"/>
  <c r="E56" i="1"/>
  <c r="E34" i="5"/>
  <c r="E71" i="5"/>
  <c r="E70" i="5"/>
  <c r="E68" i="5"/>
  <c r="E65" i="5"/>
  <c r="E21" i="5"/>
  <c r="E71" i="2"/>
  <c r="E70" i="2"/>
  <c r="E48" i="2"/>
  <c r="E62" i="6"/>
  <c r="E32" i="6"/>
  <c r="E63" i="1"/>
  <c r="E30" i="1"/>
  <c r="B65" i="1"/>
  <c r="C65" i="1"/>
  <c r="C44" i="1"/>
  <c r="E38" i="1"/>
  <c r="E43" i="1"/>
  <c r="E32" i="1"/>
  <c r="E31" i="1"/>
  <c r="E29" i="1"/>
  <c r="E28" i="1"/>
  <c r="E27" i="1"/>
  <c r="E26" i="1"/>
  <c r="E25" i="1"/>
  <c r="E24" i="1"/>
  <c r="F8" i="1"/>
  <c r="E10" i="2"/>
  <c r="E34" i="2"/>
  <c r="E33" i="2"/>
  <c r="E32" i="2"/>
  <c r="E13" i="2"/>
  <c r="E12" i="2"/>
  <c r="E11" i="2"/>
  <c r="E44" i="1" l="1"/>
  <c r="E67" i="5"/>
  <c r="E69" i="5"/>
  <c r="E66" i="5"/>
  <c r="E43" i="5"/>
  <c r="E35" i="3"/>
  <c r="F18" i="6"/>
  <c r="E40" i="6"/>
  <c r="E23" i="1"/>
  <c r="E13" i="5" l="1"/>
  <c r="E33" i="5"/>
  <c r="E27" i="5"/>
  <c r="F27" i="5" s="1"/>
  <c r="E26" i="5"/>
  <c r="E19" i="5"/>
  <c r="E18" i="5"/>
  <c r="E17" i="5"/>
  <c r="E16" i="5"/>
  <c r="E15" i="5"/>
  <c r="E12" i="5"/>
  <c r="E23" i="5"/>
  <c r="E22" i="5"/>
  <c r="E24" i="5"/>
  <c r="F71" i="2"/>
  <c r="C58" i="2"/>
  <c r="E58" i="2" s="1"/>
  <c r="B69" i="6"/>
  <c r="B68" i="6"/>
  <c r="B66" i="6"/>
  <c r="B65" i="6"/>
  <c r="B64" i="6"/>
  <c r="B63" i="6"/>
  <c r="C65" i="6"/>
  <c r="C69" i="6"/>
  <c r="C68" i="6"/>
  <c r="C67" i="6"/>
  <c r="E67" i="6" s="1"/>
  <c r="C66" i="6"/>
  <c r="E66" i="6" s="1"/>
  <c r="C64" i="6"/>
  <c r="C63" i="6"/>
  <c r="E27" i="6"/>
  <c r="E31" i="6"/>
  <c r="C34" i="6"/>
  <c r="C33" i="6"/>
  <c r="E33" i="6" s="1"/>
  <c r="C30" i="6"/>
  <c r="E30" i="6" s="1"/>
  <c r="C29" i="6"/>
  <c r="E29" i="6" s="1"/>
  <c r="C28" i="6"/>
  <c r="E28" i="6" s="1"/>
  <c r="F85" i="1"/>
  <c r="F84" i="1"/>
  <c r="F83" i="1"/>
  <c r="C64" i="1"/>
  <c r="B64" i="1"/>
  <c r="C63" i="1"/>
  <c r="C40" i="1"/>
  <c r="E40" i="1" s="1"/>
  <c r="C39" i="1"/>
  <c r="E39" i="1" s="1"/>
  <c r="E11" i="5"/>
  <c r="C32" i="1"/>
  <c r="C31" i="1"/>
  <c r="C29" i="1"/>
  <c r="C28" i="1"/>
  <c r="C27" i="1"/>
  <c r="C26" i="1"/>
  <c r="C25" i="1"/>
  <c r="C24" i="1"/>
  <c r="F18" i="1"/>
  <c r="F17" i="1"/>
  <c r="F16" i="1"/>
  <c r="F15" i="1"/>
  <c r="F14" i="1"/>
  <c r="F13" i="1"/>
  <c r="F12" i="1"/>
  <c r="F11" i="1"/>
  <c r="F10" i="1"/>
  <c r="F9" i="1"/>
  <c r="F86" i="5"/>
  <c r="F89" i="2"/>
  <c r="E21" i="2"/>
  <c r="F21" i="2" s="1"/>
  <c r="E20" i="2"/>
  <c r="E64" i="6" l="1"/>
  <c r="E63" i="6"/>
  <c r="F63" i="6" s="1"/>
  <c r="E65" i="6"/>
  <c r="E64" i="1"/>
  <c r="E68" i="6"/>
  <c r="E69" i="6"/>
  <c r="F19" i="1"/>
  <c r="F58" i="2"/>
  <c r="F9" i="6"/>
  <c r="F22" i="5"/>
  <c r="B71" i="2"/>
  <c r="C71" i="2"/>
  <c r="C72" i="2"/>
  <c r="F32" i="6"/>
  <c r="F33" i="2"/>
  <c r="C49" i="2"/>
  <c r="E49" i="2" s="1"/>
  <c r="F11" i="2"/>
  <c r="F10" i="2"/>
  <c r="F78" i="6"/>
  <c r="F79" i="6"/>
  <c r="F80" i="6"/>
  <c r="F81" i="6"/>
  <c r="F82" i="6"/>
  <c r="F83" i="6"/>
  <c r="F85" i="6"/>
  <c r="F31" i="6"/>
  <c r="F40" i="6"/>
  <c r="C54" i="6"/>
  <c r="E54" i="6" s="1"/>
  <c r="C53" i="6"/>
  <c r="E53" i="6" s="1"/>
  <c r="C52" i="6"/>
  <c r="E52" i="6" s="1"/>
  <c r="C41" i="6"/>
  <c r="E41" i="6" s="1"/>
  <c r="C42" i="6"/>
  <c r="E42" i="6" s="1"/>
  <c r="F10" i="6"/>
  <c r="F11" i="6"/>
  <c r="F12" i="6"/>
  <c r="F13" i="6"/>
  <c r="F16" i="6"/>
  <c r="F14" i="6"/>
  <c r="F15" i="6"/>
  <c r="F17" i="6"/>
  <c r="F19" i="6"/>
  <c r="F20" i="6"/>
  <c r="F21" i="6"/>
  <c r="F22" i="6"/>
  <c r="C43" i="6"/>
  <c r="E43" i="6" s="1"/>
  <c r="C44" i="6"/>
  <c r="E44" i="6" s="1"/>
  <c r="C45" i="6"/>
  <c r="E45" i="6" s="1"/>
  <c r="C48" i="6"/>
  <c r="E48" i="6" s="1"/>
  <c r="C46" i="6"/>
  <c r="E46" i="6" s="1"/>
  <c r="C47" i="6"/>
  <c r="E47" i="6" s="1"/>
  <c r="C49" i="6"/>
  <c r="E49" i="6" s="1"/>
  <c r="C50" i="6"/>
  <c r="E50" i="6" s="1"/>
  <c r="C51" i="6"/>
  <c r="E51" i="6" s="1"/>
  <c r="F91" i="6"/>
  <c r="F89" i="6"/>
  <c r="F90" i="6"/>
  <c r="F88" i="6"/>
  <c r="F87" i="6"/>
  <c r="F86" i="6"/>
  <c r="F84" i="6"/>
  <c r="F8" i="6"/>
  <c r="F65" i="5"/>
  <c r="C51" i="5"/>
  <c r="F43" i="5"/>
  <c r="E38" i="5"/>
  <c r="F38" i="5" s="1"/>
  <c r="E37" i="5"/>
  <c r="F37" i="5" s="1"/>
  <c r="E41" i="2"/>
  <c r="E36" i="5"/>
  <c r="F36" i="5" s="1"/>
  <c r="F34" i="5"/>
  <c r="E32" i="5"/>
  <c r="F32" i="5" s="1"/>
  <c r="E35" i="5"/>
  <c r="F35" i="5" s="1"/>
  <c r="F33" i="5"/>
  <c r="F26" i="5"/>
  <c r="F24" i="5"/>
  <c r="F23" i="5"/>
  <c r="F21" i="5"/>
  <c r="C58" i="5"/>
  <c r="C56" i="5"/>
  <c r="E56" i="5" s="1"/>
  <c r="C55" i="5"/>
  <c r="E55" i="5" s="1"/>
  <c r="C54" i="5"/>
  <c r="C53" i="5"/>
  <c r="C50" i="5"/>
  <c r="E50" i="5" s="1"/>
  <c r="C49" i="5"/>
  <c r="C48" i="5"/>
  <c r="C47" i="5"/>
  <c r="C46" i="5"/>
  <c r="C45" i="5"/>
  <c r="E45" i="5" s="1"/>
  <c r="C44" i="5"/>
  <c r="B66" i="5"/>
  <c r="C66" i="5"/>
  <c r="C71" i="5"/>
  <c r="C70" i="5"/>
  <c r="C69" i="5"/>
  <c r="C68" i="5"/>
  <c r="C67" i="5"/>
  <c r="B71" i="5"/>
  <c r="B70" i="5"/>
  <c r="B69" i="5"/>
  <c r="B68" i="5"/>
  <c r="B67" i="5"/>
  <c r="E38" i="2"/>
  <c r="E39" i="2"/>
  <c r="E35" i="2"/>
  <c r="E23" i="2"/>
  <c r="E22" i="2"/>
  <c r="E17" i="2"/>
  <c r="F85" i="5"/>
  <c r="F83" i="5"/>
  <c r="F81" i="5"/>
  <c r="F80" i="5"/>
  <c r="F79" i="5"/>
  <c r="F78" i="5"/>
  <c r="F77" i="5"/>
  <c r="F87" i="5" l="1"/>
  <c r="E51" i="5"/>
  <c r="F51" i="5" s="1"/>
  <c r="E54" i="5"/>
  <c r="F54" i="5" s="1"/>
  <c r="E58" i="5"/>
  <c r="F58" i="5" s="1"/>
  <c r="E44" i="5"/>
  <c r="F44" i="5" s="1"/>
  <c r="E47" i="5"/>
  <c r="F47" i="5" s="1"/>
  <c r="F46" i="5"/>
  <c r="E48" i="5"/>
  <c r="F48" i="5" s="1"/>
  <c r="E49" i="5"/>
  <c r="F49" i="5" s="1"/>
  <c r="E53" i="5"/>
  <c r="F53" i="5" s="1"/>
  <c r="F45" i="5"/>
  <c r="F48" i="6"/>
  <c r="F42" i="6"/>
  <c r="F41" i="6"/>
  <c r="F53" i="6"/>
  <c r="F54" i="6"/>
  <c r="F51" i="6"/>
  <c r="F50" i="6"/>
  <c r="F49" i="6"/>
  <c r="F52" i="6"/>
  <c r="F49" i="2"/>
  <c r="F39" i="5"/>
  <c r="F92" i="6"/>
  <c r="F100" i="6" s="1"/>
  <c r="F55" i="5"/>
  <c r="C59" i="5"/>
  <c r="F62" i="6"/>
  <c r="F70" i="5"/>
  <c r="F71" i="5"/>
  <c r="F69" i="6"/>
  <c r="F67" i="6"/>
  <c r="F68" i="6"/>
  <c r="F64" i="6"/>
  <c r="F65" i="6"/>
  <c r="F23" i="6"/>
  <c r="F96" i="6" s="1"/>
  <c r="F47" i="6"/>
  <c r="F46" i="6"/>
  <c r="F45" i="6"/>
  <c r="F43" i="6"/>
  <c r="F44" i="6"/>
  <c r="F66" i="6"/>
  <c r="F68" i="5"/>
  <c r="F69" i="5"/>
  <c r="F66" i="5"/>
  <c r="F67" i="5"/>
  <c r="F50" i="5"/>
  <c r="F56" i="5"/>
  <c r="F11" i="5"/>
  <c r="F12" i="5"/>
  <c r="F13" i="5"/>
  <c r="F14" i="5"/>
  <c r="F15" i="5"/>
  <c r="F54" i="2"/>
  <c r="F32" i="2"/>
  <c r="E19" i="2"/>
  <c r="E18" i="2"/>
  <c r="B61" i="3"/>
  <c r="B60" i="3"/>
  <c r="B59" i="3"/>
  <c r="B58" i="3"/>
  <c r="B57" i="3"/>
  <c r="E57" i="3" s="1"/>
  <c r="B56" i="3"/>
  <c r="E56" i="3" s="1"/>
  <c r="C61" i="3"/>
  <c r="C60" i="3"/>
  <c r="C59" i="3"/>
  <c r="C58" i="3"/>
  <c r="C57" i="3"/>
  <c r="C56" i="3"/>
  <c r="C47" i="3"/>
  <c r="E47" i="3" s="1"/>
  <c r="C46" i="3"/>
  <c r="E46" i="3" s="1"/>
  <c r="C44" i="3"/>
  <c r="E44" i="3" s="1"/>
  <c r="C43" i="3"/>
  <c r="E43" i="3" s="1"/>
  <c r="C45" i="3"/>
  <c r="E45" i="3" s="1"/>
  <c r="C42" i="3"/>
  <c r="E42" i="3" s="1"/>
  <c r="C41" i="3"/>
  <c r="E41" i="3" s="1"/>
  <c r="C40" i="3"/>
  <c r="E40" i="3" s="1"/>
  <c r="C39" i="3"/>
  <c r="E39" i="3" s="1"/>
  <c r="C38" i="3"/>
  <c r="E38" i="3" s="1"/>
  <c r="C37" i="3"/>
  <c r="E37" i="3" s="1"/>
  <c r="C36" i="3"/>
  <c r="E36" i="3" s="1"/>
  <c r="C30" i="3"/>
  <c r="E30" i="3" s="1"/>
  <c r="C29" i="3"/>
  <c r="E29" i="3" s="1"/>
  <c r="C28" i="3"/>
  <c r="E28" i="3" s="1"/>
  <c r="C27" i="3"/>
  <c r="E27" i="3" s="1"/>
  <c r="C26" i="3"/>
  <c r="E26" i="3" s="1"/>
  <c r="C25" i="3"/>
  <c r="E25" i="3" s="1"/>
  <c r="B62" i="1"/>
  <c r="E62" i="1" s="1"/>
  <c r="B61" i="1"/>
  <c r="B60" i="1"/>
  <c r="B59" i="1"/>
  <c r="B58" i="1"/>
  <c r="B57" i="1"/>
  <c r="C57" i="1"/>
  <c r="C62" i="1"/>
  <c r="C61" i="1"/>
  <c r="C60" i="1"/>
  <c r="C59" i="1"/>
  <c r="C58" i="1"/>
  <c r="C48" i="1"/>
  <c r="E48" i="1" s="1"/>
  <c r="C47" i="1"/>
  <c r="E47" i="1" s="1"/>
  <c r="C46" i="1"/>
  <c r="E46" i="1" s="1"/>
  <c r="C43" i="1"/>
  <c r="C45" i="1"/>
  <c r="E45" i="1" s="1"/>
  <c r="C42" i="1"/>
  <c r="E42" i="1" s="1"/>
  <c r="C41" i="1"/>
  <c r="E41" i="1" s="1"/>
  <c r="B78" i="2"/>
  <c r="B77" i="2"/>
  <c r="E77" i="2" s="1"/>
  <c r="B76" i="2"/>
  <c r="B75" i="2"/>
  <c r="B74" i="2"/>
  <c r="B73" i="2"/>
  <c r="B72" i="2"/>
  <c r="E72" i="2" s="1"/>
  <c r="C78" i="2"/>
  <c r="C77" i="2"/>
  <c r="C76" i="2"/>
  <c r="C75" i="2"/>
  <c r="C74" i="2"/>
  <c r="C73" i="2"/>
  <c r="C62" i="2"/>
  <c r="E62" i="2" s="1"/>
  <c r="C61" i="2"/>
  <c r="E61" i="2" s="1"/>
  <c r="C60" i="2"/>
  <c r="E60" i="2" s="1"/>
  <c r="C59" i="2"/>
  <c r="E59" i="2" s="1"/>
  <c r="C57" i="2"/>
  <c r="E57" i="2" s="1"/>
  <c r="C56" i="2"/>
  <c r="E56" i="2" s="1"/>
  <c r="C55" i="2"/>
  <c r="E55" i="2" s="1"/>
  <c r="C53" i="2"/>
  <c r="E53" i="2" s="1"/>
  <c r="C52" i="2"/>
  <c r="E52" i="2" s="1"/>
  <c r="C51" i="2"/>
  <c r="E51" i="2" s="1"/>
  <c r="C50" i="2"/>
  <c r="E50" i="2" s="1"/>
  <c r="E40" i="2"/>
  <c r="E37" i="2"/>
  <c r="E36" i="2"/>
  <c r="E25" i="2"/>
  <c r="E24" i="2"/>
  <c r="E16" i="2"/>
  <c r="E15" i="2"/>
  <c r="E14" i="2"/>
  <c r="E24" i="3"/>
  <c r="E58" i="3" l="1"/>
  <c r="F58" i="3" s="1"/>
  <c r="E61" i="3"/>
  <c r="E60" i="3"/>
  <c r="F60" i="3" s="1"/>
  <c r="E59" i="3"/>
  <c r="F59" i="3" s="1"/>
  <c r="E59" i="5"/>
  <c r="F59" i="5" s="1"/>
  <c r="F60" i="5" s="1"/>
  <c r="E78" i="2"/>
  <c r="E73" i="2"/>
  <c r="F73" i="2" s="1"/>
  <c r="E74" i="2"/>
  <c r="F74" i="2" s="1"/>
  <c r="E75" i="2"/>
  <c r="E76" i="2"/>
  <c r="F76" i="2" s="1"/>
  <c r="E57" i="1"/>
  <c r="E65" i="1"/>
  <c r="F65" i="1" s="1"/>
  <c r="E61" i="1"/>
  <c r="F61" i="1" s="1"/>
  <c r="F72" i="5"/>
  <c r="F56" i="3"/>
  <c r="F57" i="3"/>
  <c r="E58" i="1"/>
  <c r="F58" i="1" s="1"/>
  <c r="E59" i="1"/>
  <c r="F59" i="1" s="1"/>
  <c r="E60" i="1"/>
  <c r="F60" i="1" s="1"/>
  <c r="F55" i="6"/>
  <c r="F98" i="6" s="1"/>
  <c r="F57" i="1"/>
  <c r="F62" i="1"/>
  <c r="F70" i="6"/>
  <c r="F99" i="6" s="1"/>
  <c r="F50" i="2"/>
  <c r="F75" i="2"/>
  <c r="F64" i="1"/>
  <c r="F52" i="2"/>
  <c r="F72" i="2"/>
  <c r="F70" i="2"/>
  <c r="F56" i="1"/>
  <c r="F23" i="1"/>
  <c r="F37" i="2"/>
  <c r="F15" i="2"/>
  <c r="F51" i="2"/>
  <c r="F48" i="2"/>
  <c r="F34" i="2"/>
  <c r="F35" i="2"/>
  <c r="F41" i="2"/>
  <c r="F40" i="2"/>
  <c r="F39" i="2"/>
  <c r="F38" i="2"/>
  <c r="F36" i="2"/>
  <c r="F13" i="2"/>
  <c r="F14" i="2"/>
  <c r="F12" i="2"/>
  <c r="F90" i="2"/>
  <c r="F88" i="2"/>
  <c r="F87" i="2"/>
  <c r="F86" i="2"/>
  <c r="F85" i="2"/>
  <c r="F47" i="1"/>
  <c r="F32" i="1"/>
  <c r="F24" i="1"/>
  <c r="F16" i="2"/>
  <c r="F17" i="2"/>
  <c r="F18" i="2"/>
  <c r="F19" i="2"/>
  <c r="F20" i="2"/>
  <c r="F22" i="2"/>
  <c r="F23" i="2"/>
  <c r="F24" i="2"/>
  <c r="F25" i="2"/>
  <c r="F61" i="3"/>
  <c r="F55" i="3"/>
  <c r="F47" i="3"/>
  <c r="F44" i="3"/>
  <c r="F44" i="1"/>
  <c r="F91" i="1"/>
  <c r="F90" i="1"/>
  <c r="F89" i="1"/>
  <c r="F88" i="1"/>
  <c r="F87" i="1"/>
  <c r="F86" i="1"/>
  <c r="F82" i="1"/>
  <c r="F81" i="1"/>
  <c r="F80" i="1"/>
  <c r="F79" i="1"/>
  <c r="F78" i="1"/>
  <c r="F77" i="1"/>
  <c r="F76" i="1"/>
  <c r="F75" i="1"/>
  <c r="F74" i="1"/>
  <c r="F40" i="1"/>
  <c r="F39" i="1"/>
  <c r="F29" i="1"/>
  <c r="F26" i="1"/>
  <c r="F25" i="1"/>
  <c r="F48" i="1"/>
  <c r="F46" i="1"/>
  <c r="F43" i="1"/>
  <c r="F45" i="1"/>
  <c r="F42" i="1"/>
  <c r="F41" i="1"/>
  <c r="F28" i="1"/>
  <c r="F27" i="1"/>
  <c r="F19" i="5"/>
  <c r="F18" i="5"/>
  <c r="F17" i="5"/>
  <c r="F16" i="5"/>
  <c r="F28" i="5" s="1"/>
  <c r="F29" i="3"/>
  <c r="F28" i="3"/>
  <c r="F27" i="3"/>
  <c r="F26" i="3"/>
  <c r="F24" i="3"/>
  <c r="F46" i="3"/>
  <c r="F35" i="3"/>
  <c r="F25" i="3"/>
  <c r="F43" i="3"/>
  <c r="F42" i="3"/>
  <c r="F41" i="3"/>
  <c r="F45" i="3"/>
  <c r="F40" i="3"/>
  <c r="F39" i="3"/>
  <c r="F38" i="3"/>
  <c r="F37" i="3"/>
  <c r="F36" i="3"/>
  <c r="F19" i="3"/>
  <c r="F7" i="3"/>
  <c r="F63" i="1"/>
  <c r="F31" i="1"/>
  <c r="F30" i="3"/>
  <c r="F86" i="3"/>
  <c r="F84" i="3"/>
  <c r="F85" i="3"/>
  <c r="F83" i="3"/>
  <c r="F82" i="3"/>
  <c r="F81" i="3"/>
  <c r="F80" i="3"/>
  <c r="F79" i="3"/>
  <c r="F78" i="3"/>
  <c r="F77" i="3"/>
  <c r="F69" i="3"/>
  <c r="F70" i="3"/>
  <c r="F71" i="3"/>
  <c r="F72" i="3"/>
  <c r="F73" i="3"/>
  <c r="F74" i="3"/>
  <c r="F75" i="3"/>
  <c r="F76" i="3"/>
  <c r="F8" i="3"/>
  <c r="F9" i="3"/>
  <c r="F10" i="3"/>
  <c r="F11" i="3"/>
  <c r="F12" i="3"/>
  <c r="F13" i="3"/>
  <c r="F18" i="3"/>
  <c r="F16" i="3"/>
  <c r="F15" i="3"/>
  <c r="F17" i="3"/>
  <c r="F14" i="3"/>
  <c r="F68" i="3"/>
  <c r="F30" i="1"/>
  <c r="F91" i="2" l="1"/>
  <c r="F99" i="2" s="1"/>
  <c r="F42" i="2"/>
  <c r="F96" i="2" s="1"/>
  <c r="F26" i="2"/>
  <c r="F95" i="2" s="1"/>
  <c r="F92" i="1"/>
  <c r="F100" i="1" s="1"/>
  <c r="F33" i="1"/>
  <c r="F97" i="1" s="1"/>
  <c r="F91" i="5"/>
  <c r="F78" i="2"/>
  <c r="F77" i="2"/>
  <c r="F53" i="2"/>
  <c r="F55" i="2"/>
  <c r="F87" i="3"/>
  <c r="F97" i="3" s="1"/>
  <c r="F96" i="1"/>
  <c r="F20" i="3"/>
  <c r="F93" i="3" s="1"/>
  <c r="F66" i="1"/>
  <c r="F99" i="1" s="1"/>
  <c r="F62" i="3"/>
  <c r="F96" i="3" s="1"/>
  <c r="F31" i="3"/>
  <c r="F94" i="3" s="1"/>
  <c r="F95" i="5"/>
  <c r="F93" i="5"/>
  <c r="F94" i="5"/>
  <c r="F92" i="5"/>
  <c r="F48" i="3"/>
  <c r="F95" i="3" s="1"/>
  <c r="F79" i="2" l="1"/>
  <c r="F98" i="2" s="1"/>
  <c r="F96" i="5"/>
  <c r="F56" i="2"/>
  <c r="F98" i="3"/>
  <c r="F57" i="2" l="1"/>
  <c r="F59" i="2" l="1"/>
  <c r="F60" i="2" l="1"/>
  <c r="F61" i="2" l="1"/>
  <c r="F62" i="2"/>
  <c r="F63" i="2" l="1"/>
  <c r="F38" i="1"/>
  <c r="F49" i="1" l="1"/>
  <c r="F98" i="1" s="1"/>
  <c r="F101" i="1" s="1"/>
  <c r="F97" i="2"/>
  <c r="F100" i="2" s="1"/>
  <c r="E34" i="6"/>
  <c r="F34" i="6" s="1"/>
  <c r="F33" i="6"/>
  <c r="F27" i="6"/>
  <c r="F28" i="6"/>
  <c r="F29" i="6"/>
  <c r="F30" i="6"/>
  <c r="F35" i="6" l="1"/>
  <c r="F97" i="6" s="1"/>
  <c r="F10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Anu Vermeersch</author>
  </authors>
  <commentList>
    <comment ref="C3" authorId="0" shapeId="0" xr:uid="{B4F85F8C-0F07-4DC8-9C04-E820E5E16CEF}">
      <text>
        <r>
          <rPr>
            <b/>
            <sz val="9"/>
            <color indexed="81"/>
            <rFont val="Univers"/>
            <family val="2"/>
          </rPr>
          <t xml:space="preserve">Texas Stream Team: </t>
        </r>
        <r>
          <rPr>
            <sz val="9"/>
            <color indexed="81"/>
            <rFont val="Univers"/>
            <family val="2"/>
          </rPr>
          <t>Input the number of kits present in your group in cell C3. This will automatically populate the quantity of batteries needed.</t>
        </r>
      </text>
    </comment>
    <comment ref="C4" authorId="0" shapeId="0" xr:uid="{B9BFCFA5-BE0E-48EE-B7D0-4519AEFC8666}">
      <text>
        <r>
          <rPr>
            <b/>
            <sz val="9"/>
            <color indexed="81"/>
            <rFont val="Univers"/>
            <family val="2"/>
          </rPr>
          <t xml:space="preserve">Texas Stream Team: </t>
        </r>
        <r>
          <rPr>
            <sz val="9"/>
            <color indexed="81"/>
            <rFont val="Univers"/>
            <family val="2"/>
          </rPr>
          <t xml:space="preserve">Input the number of sets of supplies trainers will need access to during a training in cell C4. For example, if 2 trainers will be present but only 1 kit will be needed for demonstration purposes, input the value 1. </t>
        </r>
        <r>
          <rPr>
            <sz val="9"/>
            <color indexed="81"/>
            <rFont val="Tahoma"/>
            <charset val="1"/>
          </rPr>
          <t xml:space="preserve">
</t>
        </r>
      </text>
    </comment>
    <comment ref="E7" authorId="0" shapeId="0" xr:uid="{206017DF-0B42-4830-A82B-90DC123E987F}">
      <text>
        <r>
          <rPr>
            <b/>
            <sz val="9"/>
            <color indexed="81"/>
            <rFont val="Univers"/>
            <family val="2"/>
          </rPr>
          <t>Texas Stream Team</t>
        </r>
        <r>
          <rPr>
            <sz val="9"/>
            <color indexed="81"/>
            <rFont val="Univers"/>
            <family val="2"/>
          </rPr>
          <t xml:space="preserve">: For each item, input the amount you would like to purchase in the light blue cell in the </t>
        </r>
        <r>
          <rPr>
            <i/>
            <sz val="9"/>
            <color indexed="81"/>
            <rFont val="Univers"/>
            <family val="2"/>
          </rPr>
          <t>Quantity</t>
        </r>
        <r>
          <rPr>
            <sz val="9"/>
            <color indexed="81"/>
            <rFont val="Univers"/>
            <family val="2"/>
          </rPr>
          <t xml:space="preserve"> column.</t>
        </r>
      </text>
    </comment>
    <comment ref="C23" authorId="0" shapeId="0" xr:uid="{C8A328DB-7882-4ED5-A73C-0F5F50D0EACA}">
      <text>
        <r>
          <rPr>
            <b/>
            <sz val="9"/>
            <color indexed="81"/>
            <rFont val="Univers"/>
            <family val="2"/>
          </rPr>
          <t>Texas Stream Team:</t>
        </r>
        <r>
          <rPr>
            <sz val="9"/>
            <color indexed="81"/>
            <rFont val="Univers"/>
            <family val="2"/>
          </rPr>
          <t xml:space="preserve"> Input the number of monitoring sites in cell C23 (highlighted light blue). This will automatically populate the rest of the column and calculate the quantity needed for each item.</t>
        </r>
      </text>
    </comment>
    <comment ref="C38" authorId="0" shapeId="0" xr:uid="{618ED2CC-BD00-4AE1-AE24-67A74FDC9811}">
      <text>
        <r>
          <rPr>
            <b/>
            <sz val="9"/>
            <color indexed="81"/>
            <rFont val="Univers"/>
            <family val="2"/>
          </rPr>
          <t>Texas Stream Team:</t>
        </r>
        <r>
          <rPr>
            <sz val="9"/>
            <color indexed="81"/>
            <rFont val="Univers"/>
            <family val="2"/>
          </rPr>
          <t xml:space="preserve"> Input the number of trainees in one training in cell C38 (highlighted light blue). This will automatically populate the rest of the column and calculate the quantity needed for each item.</t>
        </r>
      </text>
    </comment>
    <comment ref="B56" authorId="0" shapeId="0" xr:uid="{A4838267-C468-4416-82EA-BC61FB8FF6A5}">
      <text>
        <r>
          <rPr>
            <b/>
            <sz val="9"/>
            <color indexed="81"/>
            <rFont val="Univers"/>
            <family val="2"/>
          </rPr>
          <t>Texas Stream Team:</t>
        </r>
        <r>
          <rPr>
            <sz val="9"/>
            <color indexed="81"/>
            <rFont val="Univers"/>
            <family val="2"/>
          </rPr>
          <t xml:space="preserve"> Input the number of trainings hosted each year in cell B56 (highlighted light blue). This will automatically populate the rest of the column</t>
        </r>
        <r>
          <rPr>
            <sz val="9"/>
            <color indexed="81"/>
            <rFont val="Tahoma"/>
            <family val="2"/>
          </rPr>
          <t>.</t>
        </r>
      </text>
    </comment>
    <comment ref="C56" authorId="0" shapeId="0" xr:uid="{475CAE34-92FF-4844-A16F-1F4EDC5FF2B3}">
      <text>
        <r>
          <rPr>
            <b/>
            <sz val="9"/>
            <color indexed="81"/>
            <rFont val="Univers"/>
            <family val="2"/>
          </rPr>
          <t>Texas Stream Team:</t>
        </r>
        <r>
          <rPr>
            <sz val="9"/>
            <color indexed="81"/>
            <rFont val="Univers"/>
            <family val="2"/>
          </rPr>
          <t xml:space="preserve"> Input the max number of trainees per training in cell C56 (highlighted light blue). This will automatically populate the rest of the column and calculate the quantity needed for each item.</t>
        </r>
      </text>
    </comment>
    <comment ref="E73" authorId="0" shapeId="0" xr:uid="{35955D17-D3D0-42CF-BA89-3ACC02243B96}">
      <text>
        <r>
          <rPr>
            <b/>
            <sz val="9"/>
            <color indexed="81"/>
            <rFont val="Univers"/>
            <family val="2"/>
          </rPr>
          <t xml:space="preserve">Texas Stream Team: </t>
        </r>
        <r>
          <rPr>
            <sz val="9"/>
            <color indexed="81"/>
            <rFont val="Univers"/>
            <family val="2"/>
          </rPr>
          <t xml:space="preserve">For each item, input the amount you would like to purchase in the light blue cell in the </t>
        </r>
        <r>
          <rPr>
            <i/>
            <sz val="9"/>
            <color indexed="81"/>
            <rFont val="Univers"/>
            <family val="2"/>
          </rPr>
          <t>Quantity</t>
        </r>
        <r>
          <rPr>
            <sz val="9"/>
            <color indexed="81"/>
            <rFont val="Univers"/>
            <family val="2"/>
          </rPr>
          <t xml:space="preserve"> column.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Anu Vermeersch</author>
  </authors>
  <commentList>
    <comment ref="C3" authorId="0" shapeId="0" xr:uid="{31E8E538-E0A2-4518-8A44-FA74803F011C}">
      <text>
        <r>
          <rPr>
            <b/>
            <sz val="9"/>
            <color indexed="81"/>
            <rFont val="Univers"/>
            <family val="2"/>
          </rPr>
          <t xml:space="preserve">Texas Stream Team: </t>
        </r>
        <r>
          <rPr>
            <sz val="9"/>
            <color indexed="81"/>
            <rFont val="Univers"/>
            <family val="2"/>
          </rPr>
          <t>Input the number of kits in your group in cell C3 (highlighted light blue). This will automatically populate select cells in Section 2.</t>
        </r>
        <r>
          <rPr>
            <sz val="9"/>
            <color indexed="81"/>
            <rFont val="Tahoma"/>
            <family val="2"/>
          </rPr>
          <t xml:space="preserve"> </t>
        </r>
      </text>
    </comment>
    <comment ref="C4" authorId="0" shapeId="0" xr:uid="{51BFFA2F-F6BC-4C92-8C5A-A6B30FDED1D7}">
      <text>
        <r>
          <rPr>
            <b/>
            <sz val="9"/>
            <color indexed="81"/>
            <rFont val="Univers"/>
            <family val="2"/>
          </rPr>
          <t xml:space="preserve">Texas Stream Team: </t>
        </r>
        <r>
          <rPr>
            <sz val="9"/>
            <color indexed="81"/>
            <rFont val="Univers"/>
            <family val="2"/>
          </rPr>
          <t xml:space="preserve">Input the number of sets of supplies trainers will need access to during a training in cell C4. For example, if 2 trainers will be present but only 1 kit will be needed for demonstration purposes, input the value 1. </t>
        </r>
      </text>
    </comment>
    <comment ref="E7" authorId="0" shapeId="0" xr:uid="{B90A105F-29D0-4CCE-BC4D-D569E9DE63C1}">
      <text>
        <r>
          <rPr>
            <b/>
            <sz val="9"/>
            <color indexed="81"/>
            <rFont val="Univers"/>
            <family val="2"/>
          </rPr>
          <t>Texas Stream Team</t>
        </r>
        <r>
          <rPr>
            <sz val="9"/>
            <color indexed="81"/>
            <rFont val="Univers"/>
            <family val="2"/>
          </rPr>
          <t xml:space="preserve">: For each item, input the amount you would like to purchase in the light blue cell in the </t>
        </r>
        <r>
          <rPr>
            <i/>
            <sz val="9"/>
            <color indexed="81"/>
            <rFont val="Univers"/>
            <family val="2"/>
          </rPr>
          <t>Quantity</t>
        </r>
        <r>
          <rPr>
            <sz val="9"/>
            <color indexed="81"/>
            <rFont val="Univers"/>
            <family val="2"/>
          </rPr>
          <t xml:space="preserve"> column.</t>
        </r>
      </text>
    </comment>
    <comment ref="C27" authorId="0" shapeId="0" xr:uid="{1BF416CA-A174-46FC-816F-6BA4D43D8252}">
      <text>
        <r>
          <rPr>
            <b/>
            <sz val="9"/>
            <color indexed="81"/>
            <rFont val="Univers"/>
            <family val="2"/>
          </rPr>
          <t xml:space="preserve">Texas Stream Team: </t>
        </r>
        <r>
          <rPr>
            <sz val="9"/>
            <color indexed="81"/>
            <rFont val="Univers"/>
            <family val="2"/>
          </rPr>
          <t>Input the number of monitoring sites in cell 27 (highlighted light blue). This will automatically populate the rest of the column and calculate the quantity needed for each item.</t>
        </r>
      </text>
    </comment>
    <comment ref="C40" authorId="0" shapeId="0" xr:uid="{3784A599-084D-4BCF-A00E-42369A33233F}">
      <text>
        <r>
          <rPr>
            <b/>
            <sz val="9"/>
            <color indexed="81"/>
            <rFont val="Univers"/>
            <family val="2"/>
          </rPr>
          <t>Texas Stream Team:</t>
        </r>
        <r>
          <rPr>
            <sz val="9"/>
            <color indexed="81"/>
            <rFont val="Univers"/>
            <family val="2"/>
          </rPr>
          <t xml:space="preserve"> Input the number of trainees in one training in cell C40 (highlighted light blue). This will automatically populate the rest of the column and calculate the quantity needed for each item. </t>
        </r>
      </text>
    </comment>
    <comment ref="B62" authorId="0" shapeId="0" xr:uid="{DCAC6EA5-B438-4984-8052-8378EBD689E3}">
      <text>
        <r>
          <rPr>
            <b/>
            <sz val="9"/>
            <color indexed="81"/>
            <rFont val="Univers"/>
            <family val="2"/>
          </rPr>
          <t xml:space="preserve">Texas Stream Team: </t>
        </r>
        <r>
          <rPr>
            <sz val="9"/>
            <color indexed="81"/>
            <rFont val="Univers"/>
            <family val="2"/>
          </rPr>
          <t>Input the number of trainings in cell B62 (highlighted light blue). This will automatically populate the rest of the column and calculate the quantity needed for each item.</t>
        </r>
      </text>
    </comment>
    <comment ref="C62" authorId="0" shapeId="0" xr:uid="{BE69B648-16CE-4AB3-A414-7C1664B4A57E}">
      <text>
        <r>
          <rPr>
            <b/>
            <sz val="9"/>
            <color indexed="81"/>
            <rFont val="Univers"/>
            <family val="2"/>
          </rPr>
          <t xml:space="preserve">Texas Stream Team: </t>
        </r>
        <r>
          <rPr>
            <sz val="9"/>
            <color indexed="81"/>
            <rFont val="Univers"/>
            <family val="2"/>
          </rPr>
          <t>Input the max number of trainees per training in cell C62 (highlighted light blue). This will automatically populate the rest of the column and calculate the quantity needed for each item.</t>
        </r>
      </text>
    </comment>
    <comment ref="E77" authorId="0" shapeId="0" xr:uid="{30598339-F341-4E5C-BA71-FE4C4B33F82F}">
      <text>
        <r>
          <rPr>
            <b/>
            <sz val="9"/>
            <color indexed="81"/>
            <rFont val="Univers"/>
            <family val="2"/>
          </rPr>
          <t xml:space="preserve">Texas Stream Team: </t>
        </r>
        <r>
          <rPr>
            <sz val="9"/>
            <color indexed="81"/>
            <rFont val="Univers"/>
            <family val="2"/>
          </rPr>
          <t xml:space="preserve">For each item, input the amount you would like to purchase in the light blue cell in the </t>
        </r>
        <r>
          <rPr>
            <i/>
            <sz val="9"/>
            <color indexed="81"/>
            <rFont val="Univers"/>
            <family val="2"/>
          </rPr>
          <t>Quantity</t>
        </r>
        <r>
          <rPr>
            <sz val="9"/>
            <color indexed="81"/>
            <rFont val="Univers"/>
            <family val="2"/>
          </rPr>
          <t xml:space="preserve"> column.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Anu Vermeersch</author>
  </authors>
  <commentList>
    <comment ref="C2" authorId="0" shapeId="0" xr:uid="{D64A30EB-28DD-4CF8-89D8-997297DE5CD8}">
      <text>
        <r>
          <rPr>
            <b/>
            <sz val="9"/>
            <color indexed="81"/>
            <rFont val="Univers"/>
            <family val="2"/>
          </rPr>
          <t xml:space="preserve">Texas Stream Team: </t>
        </r>
        <r>
          <rPr>
            <sz val="9"/>
            <color indexed="81"/>
            <rFont val="Univers"/>
            <family val="2"/>
          </rPr>
          <t xml:space="preserve">For each item, input the quantity present in your group. This will automatically populate the quantity columns in Sections 1 &amp; 2. </t>
        </r>
      </text>
    </comment>
    <comment ref="C48" authorId="0" shapeId="0" xr:uid="{79623A41-073A-4100-AD1D-882887FEF353}">
      <text>
        <r>
          <rPr>
            <b/>
            <sz val="9"/>
            <color indexed="81"/>
            <rFont val="Univers"/>
            <family val="2"/>
          </rPr>
          <t xml:space="preserve">Texas Stream Team: </t>
        </r>
        <r>
          <rPr>
            <sz val="9"/>
            <color indexed="81"/>
            <rFont val="Univers"/>
            <family val="2"/>
          </rPr>
          <t>Input the number of trainees in one training in cell C48 (highlighted light blue). This will automatically populate the rest of the column and calculate the quantity needed for each item.</t>
        </r>
      </text>
    </comment>
    <comment ref="B70" authorId="0" shapeId="0" xr:uid="{B05B3014-E0C2-4620-BB4C-8D031C4A8FE4}">
      <text>
        <r>
          <rPr>
            <b/>
            <sz val="9"/>
            <color indexed="81"/>
            <rFont val="Univers"/>
            <family val="2"/>
          </rPr>
          <t xml:space="preserve">Texas Stream Team: </t>
        </r>
        <r>
          <rPr>
            <sz val="9"/>
            <color indexed="81"/>
            <rFont val="Univers"/>
            <family val="2"/>
          </rPr>
          <t>Input the number of trainings hosted each year in cell B70 (highlighted light blue). This will automatically populate the rest of the column.</t>
        </r>
      </text>
    </comment>
    <comment ref="C70" authorId="0" shapeId="0" xr:uid="{57C83A02-6DEA-4EB3-A858-FD09F9BEB392}">
      <text>
        <r>
          <rPr>
            <b/>
            <sz val="9"/>
            <color indexed="81"/>
            <rFont val="Univers"/>
            <family val="2"/>
          </rPr>
          <t xml:space="preserve">Texas Stream Team: </t>
        </r>
        <r>
          <rPr>
            <sz val="9"/>
            <color indexed="81"/>
            <rFont val="Univers"/>
            <family val="2"/>
          </rPr>
          <t>Input the max number of trainees per training in cell C70 (highlighted light blue). This will automatically populate the rest of the column and calculate the quantity needed for each item.</t>
        </r>
      </text>
    </comment>
    <comment ref="E84" authorId="0" shapeId="0" xr:uid="{C5068A25-73CA-4F96-AEB6-66EE6A7CBF26}">
      <text>
        <r>
          <rPr>
            <b/>
            <sz val="9"/>
            <color indexed="81"/>
            <rFont val="Univers"/>
            <family val="2"/>
          </rPr>
          <t xml:space="preserve">Texas Stream Team: </t>
        </r>
        <r>
          <rPr>
            <sz val="9"/>
            <color indexed="81"/>
            <rFont val="Univers"/>
            <family val="2"/>
          </rPr>
          <t>For each item, put the amount you would like to purchase in the light blue cell in the Quantity column</t>
        </r>
        <r>
          <rPr>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Anu Vermeersch</author>
  </authors>
  <commentList>
    <comment ref="C2" authorId="0" shapeId="0" xr:uid="{AB35AE24-8292-409D-9840-B2D456169DC5}">
      <text>
        <r>
          <rPr>
            <b/>
            <sz val="9"/>
            <color indexed="81"/>
            <rFont val="Univers"/>
            <family val="2"/>
          </rPr>
          <t>Texas Stream Team:</t>
        </r>
        <r>
          <rPr>
            <sz val="9"/>
            <color indexed="81"/>
            <rFont val="Univers"/>
            <family val="2"/>
          </rPr>
          <t xml:space="preserve"> For each item, input the quantity present in your group. This will automatically populate the quantity columns in Sections 1 &amp; 2.</t>
        </r>
        <r>
          <rPr>
            <sz val="9"/>
            <color indexed="81"/>
            <rFont val="Tahoma"/>
            <family val="2"/>
          </rPr>
          <t xml:space="preserve"> </t>
        </r>
      </text>
    </comment>
    <comment ref="C43" authorId="0" shapeId="0" xr:uid="{786DE0A4-8DCE-428B-8500-AD9501BC0BA4}">
      <text>
        <r>
          <rPr>
            <b/>
            <sz val="9"/>
            <color indexed="81"/>
            <rFont val="Univers"/>
            <family val="2"/>
          </rPr>
          <t xml:space="preserve">Texas Stream Team: </t>
        </r>
        <r>
          <rPr>
            <sz val="9"/>
            <color indexed="81"/>
            <rFont val="Univers"/>
            <family val="2"/>
          </rPr>
          <t>Input the number of trainees in one training in cell C43 (highlighted light blue). This will automatically populate the rest of the column and calculate the quantity needed for each item.</t>
        </r>
      </text>
    </comment>
    <comment ref="B65" authorId="0" shapeId="0" xr:uid="{1C20BEB2-667C-4348-BA83-55821DC8F142}">
      <text>
        <r>
          <rPr>
            <b/>
            <sz val="9"/>
            <color indexed="81"/>
            <rFont val="Univers"/>
            <family val="2"/>
          </rPr>
          <t xml:space="preserve">Texas Stream Team: </t>
        </r>
        <r>
          <rPr>
            <sz val="9"/>
            <color indexed="81"/>
            <rFont val="Univers"/>
            <family val="2"/>
          </rPr>
          <t>Input the number of trainings hosted each year in cell B65 (highlighted light blue). This will automatically populate the rest of the column.</t>
        </r>
      </text>
    </comment>
    <comment ref="C65" authorId="0" shapeId="0" xr:uid="{FE66FC63-B27C-4708-A0C9-D076BD968445}">
      <text>
        <r>
          <rPr>
            <b/>
            <sz val="9"/>
            <color indexed="81"/>
            <rFont val="Univers"/>
            <family val="2"/>
          </rPr>
          <t xml:space="preserve">Texas Stream Team: </t>
        </r>
        <r>
          <rPr>
            <sz val="9"/>
            <color indexed="81"/>
            <rFont val="Univers"/>
            <family val="2"/>
          </rPr>
          <t>Input the max number of trainees per training in cell C65 (highlighted light blue). This will automatically populate the rest of the column and calculate the quantity needed for each item.</t>
        </r>
      </text>
    </comment>
    <comment ref="E76" authorId="0" shapeId="0" xr:uid="{5B75E3D2-70F1-4349-AF0C-CC5754DC2B0F}">
      <text>
        <r>
          <rPr>
            <b/>
            <sz val="9"/>
            <color indexed="81"/>
            <rFont val="Univers"/>
            <family val="2"/>
          </rPr>
          <t xml:space="preserve">Texas Stream Team: </t>
        </r>
        <r>
          <rPr>
            <sz val="9"/>
            <color indexed="81"/>
            <rFont val="Univers"/>
            <family val="2"/>
          </rPr>
          <t>For each item, put the amount you would like to purchase in the light blue cell in the Quantity column.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Anu Vermeersch</author>
  </authors>
  <commentList>
    <comment ref="C3" authorId="0" shapeId="0" xr:uid="{525B4A0C-69BF-4DE6-9DD5-CEF51D1875C0}">
      <text>
        <r>
          <rPr>
            <b/>
            <sz val="9"/>
            <color indexed="81"/>
            <rFont val="Univers"/>
            <family val="2"/>
          </rPr>
          <t xml:space="preserve">Texas Stream Team: </t>
        </r>
        <r>
          <rPr>
            <sz val="9"/>
            <color indexed="81"/>
            <rFont val="Univers"/>
            <family val="2"/>
          </rPr>
          <t xml:space="preserve">Input the number of sets of supplies trainers will need access to during a training in cell C3. For example, if 2 trainers will be present but only 1 kit will be needed for demonstration purposes, input the value 1. </t>
        </r>
        <r>
          <rPr>
            <sz val="9"/>
            <color indexed="81"/>
            <rFont val="Tahoma"/>
            <charset val="1"/>
          </rPr>
          <t xml:space="preserve">
</t>
        </r>
      </text>
    </comment>
    <comment ref="E6" authorId="0" shapeId="0" xr:uid="{28FB49C6-6EC7-4FE1-B822-C2FF491A75B9}">
      <text>
        <r>
          <rPr>
            <b/>
            <sz val="9"/>
            <color indexed="81"/>
            <rFont val="Univers"/>
            <family val="2"/>
          </rPr>
          <t xml:space="preserve">Texas Stream Team: </t>
        </r>
        <r>
          <rPr>
            <sz val="9"/>
            <color indexed="81"/>
            <rFont val="Univers"/>
            <family val="2"/>
          </rPr>
          <t xml:space="preserve">For each item, input the amount you would like to purchase in the light blue cell in the </t>
        </r>
        <r>
          <rPr>
            <i/>
            <sz val="9"/>
            <color indexed="81"/>
            <rFont val="Univers"/>
            <family val="2"/>
          </rPr>
          <t>Quantity</t>
        </r>
        <r>
          <rPr>
            <sz val="9"/>
            <color indexed="81"/>
            <rFont val="Univers"/>
            <family val="2"/>
          </rPr>
          <t xml:space="preserve"> column.</t>
        </r>
      </text>
    </comment>
    <comment ref="C24" authorId="0" shapeId="0" xr:uid="{828637C0-FA97-4567-BC37-7EEA891BABAB}">
      <text>
        <r>
          <rPr>
            <b/>
            <sz val="9"/>
            <color indexed="81"/>
            <rFont val="Univers"/>
            <family val="2"/>
          </rPr>
          <t xml:space="preserve">Texas Stream Team: </t>
        </r>
        <r>
          <rPr>
            <sz val="9"/>
            <color indexed="81"/>
            <rFont val="Univers"/>
            <family val="2"/>
          </rPr>
          <t>Input the number of monitoring sites in cell C24 (highlighted light blue). This will automatically populate the rest of the column and calculate the quantity needed for each item.</t>
        </r>
      </text>
    </comment>
    <comment ref="C35" authorId="0" shapeId="0" xr:uid="{221D64F6-EAF7-4535-B439-B8EE172280E9}">
      <text>
        <r>
          <rPr>
            <b/>
            <sz val="9"/>
            <color indexed="81"/>
            <rFont val="Univers"/>
            <family val="2"/>
          </rPr>
          <t xml:space="preserve">Texas Stream Team: </t>
        </r>
        <r>
          <rPr>
            <sz val="9"/>
            <color indexed="81"/>
            <rFont val="Univers"/>
            <family val="2"/>
          </rPr>
          <t>Input the number of trainees in cell C35 (highlighted light blue). This will automatically populate the rest of the column and calculate the quantity needed for each item.</t>
        </r>
      </text>
    </comment>
    <comment ref="B55" authorId="0" shapeId="0" xr:uid="{DA98737E-9CF8-42DA-8F7F-98CDA1509ACE}">
      <text>
        <r>
          <rPr>
            <b/>
            <sz val="9"/>
            <color indexed="81"/>
            <rFont val="Univers"/>
            <family val="2"/>
          </rPr>
          <t xml:space="preserve">Texas Stream Team: </t>
        </r>
        <r>
          <rPr>
            <sz val="9"/>
            <color indexed="81"/>
            <rFont val="Univers"/>
            <family val="2"/>
          </rPr>
          <t>Input the number of trainings hosted each year in cell B55 (highlighted light blue). This will automatically populate the rest of the column.</t>
        </r>
      </text>
    </comment>
    <comment ref="C55" authorId="0" shapeId="0" xr:uid="{9856130D-389D-4C69-BCFE-7C6683EE19F6}">
      <text>
        <r>
          <rPr>
            <b/>
            <sz val="9"/>
            <color indexed="81"/>
            <rFont val="Univers"/>
            <family val="2"/>
          </rPr>
          <t xml:space="preserve">Texas Stream Team: </t>
        </r>
        <r>
          <rPr>
            <sz val="9"/>
            <color indexed="81"/>
            <rFont val="Univers"/>
            <family val="2"/>
          </rPr>
          <t>Input the max number of trainees per training in cell C55 (highlighted light blue). This will automatically populate the rest of the column and calculate the quantity needed for each item.</t>
        </r>
      </text>
    </comment>
    <comment ref="E67" authorId="0" shapeId="0" xr:uid="{783478CC-7255-480D-AA88-91B68BAE24AF}">
      <text>
        <r>
          <rPr>
            <b/>
            <sz val="9"/>
            <color indexed="81"/>
            <rFont val="Univers"/>
            <family val="2"/>
          </rPr>
          <t xml:space="preserve">Texas Stream Team: </t>
        </r>
        <r>
          <rPr>
            <sz val="9"/>
            <color indexed="81"/>
            <rFont val="Univers"/>
            <family val="2"/>
          </rPr>
          <t xml:space="preserve">For each item, put the amount you would like to purchase in the light blue cell in the </t>
        </r>
        <r>
          <rPr>
            <i/>
            <sz val="9"/>
            <color indexed="81"/>
            <rFont val="Univers"/>
            <family val="2"/>
          </rPr>
          <t>Quantity</t>
        </r>
        <r>
          <rPr>
            <sz val="9"/>
            <color indexed="81"/>
            <rFont val="Univers"/>
            <family val="2"/>
          </rPr>
          <t xml:space="preserve"> column.</t>
        </r>
      </text>
    </comment>
  </commentList>
</comments>
</file>

<file path=xl/sharedStrings.xml><?xml version="1.0" encoding="utf-8"?>
<sst xmlns="http://schemas.openxmlformats.org/spreadsheetml/2006/main" count="823" uniqueCount="300">
  <si>
    <t xml:space="preserve">Quantity </t>
  </si>
  <si>
    <t xml:space="preserve">Price </t>
  </si>
  <si>
    <t xml:space="preserve">Total </t>
  </si>
  <si>
    <t xml:space="preserve">Refractometer </t>
  </si>
  <si>
    <t xml:space="preserve">60cm Transparency Tube </t>
  </si>
  <si>
    <t xml:space="preserve">Standard Core Kit </t>
  </si>
  <si>
    <t>Distilled Water</t>
  </si>
  <si>
    <t>Goggles</t>
  </si>
  <si>
    <t>Gloves</t>
  </si>
  <si>
    <t>Conductivity Standard</t>
  </si>
  <si>
    <t xml:space="preserve">Sulfuric Acid </t>
  </si>
  <si>
    <t xml:space="preserve">Alkaline Potassium Iodide with Azide </t>
  </si>
  <si>
    <t xml:space="preserve">Starch Indicator Solution </t>
  </si>
  <si>
    <t xml:space="preserve">Sodium Thiosulfate </t>
  </si>
  <si>
    <t xml:space="preserve">Wide Range Indicator </t>
  </si>
  <si>
    <t xml:space="preserve">Conductivity Standard </t>
  </si>
  <si>
    <t xml:space="preserve">Manganous Sulfate Solution </t>
  </si>
  <si>
    <t>Comments</t>
  </si>
  <si>
    <t xml:space="preserve">Only needed if monitoring brackish salt water </t>
  </si>
  <si>
    <t xml:space="preserve">Can be upcycled </t>
  </si>
  <si>
    <t xml:space="preserve">Only needed if monitoring shallow or fast flowing waters </t>
  </si>
  <si>
    <t xml:space="preserve">Only needed if monitoring freshwater </t>
  </si>
  <si>
    <t xml:space="preserve">Advanced Kit </t>
  </si>
  <si>
    <t>Wiffle Ball</t>
  </si>
  <si>
    <t>Stopwatch</t>
  </si>
  <si>
    <t>Tape Measure</t>
  </si>
  <si>
    <t>Nitrate #1 Tablets</t>
  </si>
  <si>
    <t>Nitrate #2 Tablets</t>
  </si>
  <si>
    <t>Phosphate Strips</t>
  </si>
  <si>
    <t>Filtration Aid Solution</t>
  </si>
  <si>
    <t>Pipettes</t>
  </si>
  <si>
    <t>Deionized Water</t>
  </si>
  <si>
    <t>Bleach</t>
  </si>
  <si>
    <t>Ziploc Bags</t>
  </si>
  <si>
    <t>Incubator</t>
  </si>
  <si>
    <t>Total</t>
  </si>
  <si>
    <t>Secchi Disk</t>
  </si>
  <si>
    <t>Octa Slide 2 Viewer (pH)</t>
  </si>
  <si>
    <t>Wide Range pH Octa-Slide 2 Bar (3-6.5) (pH)</t>
  </si>
  <si>
    <t>Wide Range pH Octa-Slide 2 Bar (7-10.5) (pH)</t>
  </si>
  <si>
    <t>Refractometer</t>
  </si>
  <si>
    <t>Can be upcycled</t>
  </si>
  <si>
    <t>Cost Type</t>
  </si>
  <si>
    <t>Cost</t>
  </si>
  <si>
    <t xml:space="preserve">120cm Transparency Tube </t>
  </si>
  <si>
    <t>60cm Transparency Tube</t>
  </si>
  <si>
    <t>120cm Transparency Tube</t>
  </si>
  <si>
    <t>Batteries for Meter*</t>
  </si>
  <si>
    <t>Only needed if using conductivity meter</t>
  </si>
  <si>
    <t>Equipment Item (URL Linked)</t>
  </si>
  <si>
    <t>Octa Slide 2 Viewer (N)</t>
  </si>
  <si>
    <t xml:space="preserve">Protective Sleeve </t>
  </si>
  <si>
    <t>Filter Paper</t>
  </si>
  <si>
    <t>Glass Dropper*</t>
  </si>
  <si>
    <t>Mixing Bottles**</t>
  </si>
  <si>
    <t>Mixing Bottle Caps**</t>
  </si>
  <si>
    <t>Magnifying Glass</t>
  </si>
  <si>
    <t>MacroLens</t>
  </si>
  <si>
    <t>Extension Pole</t>
  </si>
  <si>
    <t>Objective</t>
  </si>
  <si>
    <t>Instructions</t>
  </si>
  <si>
    <t>Number of Trainees</t>
  </si>
  <si>
    <t>Quantity</t>
  </si>
  <si>
    <t>Standard Core Kit*</t>
  </si>
  <si>
    <t>Refractometer*</t>
  </si>
  <si>
    <t xml:space="preserve">*Assumption that one will be shared between 2 trainees. </t>
  </si>
  <si>
    <t xml:space="preserve">Section 1: Startup Monitoring Costs </t>
  </si>
  <si>
    <t>Section 5: Potential Costs to Replace Broken Equipment</t>
  </si>
  <si>
    <t>Section 6: Overall Cost Breakdown</t>
  </si>
  <si>
    <t>Section 5: Potential Cost to Replace Broken Equipment - Refers to the cost to replace broken equipment as needed.</t>
  </si>
  <si>
    <t>Distilled Water***</t>
  </si>
  <si>
    <t>Number of Trainings</t>
  </si>
  <si>
    <t>Price</t>
  </si>
  <si>
    <t>Section 3: Startup Training Costs</t>
  </si>
  <si>
    <t>Section 1: Startup Monitoring Costs</t>
  </si>
  <si>
    <t>Only need the 60cm OR the 120cm</t>
  </si>
  <si>
    <t xml:space="preserve"> Section 3: Startup Training Costs (For One Training)</t>
  </si>
  <si>
    <t>Totals</t>
  </si>
  <si>
    <t>Distilled Water*</t>
  </si>
  <si>
    <t>Black Whirl-Pak Bags</t>
  </si>
  <si>
    <t>Organic Cotton Tampons</t>
  </si>
  <si>
    <t>Fine Tip Sharpie</t>
  </si>
  <si>
    <t>Tweezers/Forceps</t>
  </si>
  <si>
    <t xml:space="preserve">The purpose of this document is to assist equipment coordinators and community scientists with determining the cost to begin and continue monitoring as well as host trainings for each type of Texas Stream Team protocol. </t>
  </si>
  <si>
    <r>
      <t xml:space="preserve">1. For each item, input the quantity your group would like to purchase in the light blue </t>
    </r>
    <r>
      <rPr>
        <i/>
        <sz val="11"/>
        <color theme="1"/>
        <rFont val="Univers"/>
        <family val="2"/>
      </rPr>
      <t>Quantity</t>
    </r>
    <r>
      <rPr>
        <sz val="11"/>
        <color theme="1"/>
        <rFont val="Univers"/>
        <family val="2"/>
      </rPr>
      <t xml:space="preserve"> column based on equipment that has broken over time. If the equipment item is still in good working condition, leave the quantity blank. </t>
    </r>
  </si>
  <si>
    <t xml:space="preserve">1. This section will auto populate based on the information input in the above tables. This table provides a summary of total costs for trainings and monitoring.  </t>
  </si>
  <si>
    <t>--</t>
  </si>
  <si>
    <t>Sulfuric Acid**</t>
  </si>
  <si>
    <t>Alkaline Potassium Iodide with Azide**</t>
  </si>
  <si>
    <t>Manganous Sulfate Solution**</t>
  </si>
  <si>
    <t>Starch Indicator Solution**</t>
  </si>
  <si>
    <t>Sodium Thiosulfate**</t>
  </si>
  <si>
    <t>Wide Range Indicator**</t>
  </si>
  <si>
    <t>Conductivity Standard**</t>
  </si>
  <si>
    <t>Batteries for Meter***</t>
  </si>
  <si>
    <t xml:space="preserve">***Conductivity meters need 4 batteries at a time. Batteries last approximately 9 months when in use. </t>
  </si>
  <si>
    <t xml:space="preserve">*Please be advised that you may have reagents left over from the previous year. The table provides insight into how much is needed for a full year. </t>
  </si>
  <si>
    <t>Notes</t>
  </si>
  <si>
    <t>Vendor Pricing</t>
  </si>
  <si>
    <t>Customization</t>
  </si>
  <si>
    <t># of Trainees</t>
  </si>
  <si>
    <t>Filtration Aid Solution*</t>
  </si>
  <si>
    <t xml:space="preserve">*One needed per kit. </t>
  </si>
  <si>
    <t>Monthly Monitoring Sites (#)</t>
  </si>
  <si>
    <t>*Comes in a pack of 5.</t>
  </si>
  <si>
    <t>**Comes in a pack of 6.</t>
  </si>
  <si>
    <t>**It is advised that expired reagents be used in place of unexpired. However, the table does provide information on the cost of using unexpired reagents.</t>
  </si>
  <si>
    <t xml:space="preserve">**Assumption that one will be shared between 4 trainees. </t>
  </si>
  <si>
    <t>60cm Transparency Tube**</t>
  </si>
  <si>
    <t>120cm Transparency Tube**</t>
  </si>
  <si>
    <t>Tape Measure**</t>
  </si>
  <si>
    <t>Stopwatch**</t>
  </si>
  <si>
    <t>Wiffle Ball**</t>
  </si>
  <si>
    <t>Advanced Kit*</t>
  </si>
  <si>
    <t>Coliscan EasyGel &amp; Petri Dishes (Weber)*</t>
  </si>
  <si>
    <t xml:space="preserve"> Section 3: Startup Training Costs (For One Training)*</t>
  </si>
  <si>
    <t>Coliscan EasyGel &amp; Petri Dishes*</t>
  </si>
  <si>
    <t>Information Needed for Formulas</t>
  </si>
  <si>
    <t>Information Needed</t>
  </si>
  <si>
    <t>Number of Monthly Monitoring Sites</t>
  </si>
  <si>
    <t>Number of Monitors</t>
  </si>
  <si>
    <t>For sampling downstream of WWTP</t>
  </si>
  <si>
    <t>Assumption of 2mL of DI water per field blank</t>
  </si>
  <si>
    <t>Need a set for each sample collection and for plating</t>
  </si>
  <si>
    <t>Option to reuse used pipettes</t>
  </si>
  <si>
    <t>Recommend to use non thiosulfate WhirlPaks</t>
  </si>
  <si>
    <t>Pre Information for Formulas</t>
  </si>
  <si>
    <r>
      <t xml:space="preserve">Keep in mind that prices change over time. To double check the cost of an associated item, click the equipment item to be directed to the vendor's website. If the price has changed, manually type the new prices into the associated price section on the excel sheet. LaMotte does not post all items on their website. To view the current yearly prices for LaMotte, visit the </t>
    </r>
    <r>
      <rPr>
        <u/>
        <sz val="11"/>
        <color theme="4"/>
        <rFont val="Univers"/>
        <family val="2"/>
      </rPr>
      <t>Texas Stream Team Equipment Directory</t>
    </r>
    <r>
      <rPr>
        <sz val="11"/>
        <rFont val="Univers"/>
        <family val="2"/>
      </rPr>
      <t xml:space="preserve"> webpage.</t>
    </r>
  </si>
  <si>
    <t>Only needed if waterbody cannot be accessed</t>
  </si>
  <si>
    <t>Optional</t>
  </si>
  <si>
    <t>One needed per monitor</t>
  </si>
  <si>
    <r>
      <t xml:space="preserve">2. The total replacement cost will be displayed in the </t>
    </r>
    <r>
      <rPr>
        <i/>
        <sz val="11"/>
        <color theme="1"/>
        <rFont val="Univers"/>
        <family val="2"/>
      </rPr>
      <t>Total</t>
    </r>
    <r>
      <rPr>
        <sz val="11"/>
        <color theme="1"/>
        <rFont val="Univers"/>
        <family val="2"/>
      </rPr>
      <t xml:space="preserve"> row.</t>
    </r>
  </si>
  <si>
    <r>
      <t xml:space="preserve">3. The total start up cost will be displayed in the </t>
    </r>
    <r>
      <rPr>
        <i/>
        <sz val="11"/>
        <color theme="1"/>
        <rFont val="Univers"/>
        <family val="2"/>
      </rPr>
      <t>Total</t>
    </r>
    <r>
      <rPr>
        <sz val="11"/>
        <color theme="1"/>
        <rFont val="Univers"/>
        <family val="2"/>
      </rPr>
      <t xml:space="preserve"> row.</t>
    </r>
  </si>
  <si>
    <t>Section 6: Overall Cost Breakdown - Total cost for monitoring and training.</t>
  </si>
  <si>
    <r>
      <t xml:space="preserve">2. Input the number of trainings you expect to host in one year in the top light blue cell of the </t>
    </r>
    <r>
      <rPr>
        <i/>
        <sz val="11"/>
        <color theme="1"/>
        <rFont val="Univers"/>
        <family val="2"/>
      </rPr>
      <t xml:space="preserve">Number of Trainings </t>
    </r>
    <r>
      <rPr>
        <sz val="11"/>
        <color theme="1"/>
        <rFont val="Univers"/>
        <family val="2"/>
      </rPr>
      <t xml:space="preserve">column. This will auto populate the remaining cells in the </t>
    </r>
    <r>
      <rPr>
        <i/>
        <sz val="11"/>
        <color theme="1"/>
        <rFont val="Univers"/>
        <family val="2"/>
      </rPr>
      <t xml:space="preserve">Number of Trainings </t>
    </r>
    <r>
      <rPr>
        <sz val="11"/>
        <color theme="1"/>
        <rFont val="Univers"/>
        <family val="2"/>
      </rPr>
      <t xml:space="preserve">column. </t>
    </r>
  </si>
  <si>
    <t>1. Some items may be upcycled as opposed to purchased new. If you will be upcycling any items or do not need to purchase an item, you may change the associated price to $0.00.</t>
  </si>
  <si>
    <r>
      <t xml:space="preserve">2. The total recurring costs will be displayed in the </t>
    </r>
    <r>
      <rPr>
        <i/>
        <sz val="11"/>
        <color theme="1"/>
        <rFont val="Univers"/>
        <family val="2"/>
      </rPr>
      <t>Total</t>
    </r>
    <r>
      <rPr>
        <sz val="11"/>
        <color theme="1"/>
        <rFont val="Univers"/>
        <family val="2"/>
      </rPr>
      <t xml:space="preserve"> row. </t>
    </r>
  </si>
  <si>
    <r>
      <t xml:space="preserve">4. The total recurring costs will be displayed in the </t>
    </r>
    <r>
      <rPr>
        <i/>
        <sz val="11"/>
        <color theme="1"/>
        <rFont val="Univers"/>
        <family val="2"/>
      </rPr>
      <t>Total</t>
    </r>
    <r>
      <rPr>
        <sz val="11"/>
        <color theme="1"/>
        <rFont val="Univers"/>
        <family val="2"/>
      </rPr>
      <t xml:space="preserve"> row. </t>
    </r>
  </si>
  <si>
    <t>Section 1: Startup Monitoring Costs (For One Year)</t>
  </si>
  <si>
    <t>Section 2: Recurring Monitoring Costs Per Year</t>
  </si>
  <si>
    <t xml:space="preserve">Section 1: Startup Monitoring Costs - Refers to the cost to begin monitoring. </t>
  </si>
  <si>
    <t>Section 4: Recurring Training Costs Per Year*</t>
  </si>
  <si>
    <t>Section 4: Recurring Training Costs Per Year</t>
  </si>
  <si>
    <t>Max. Trainees Per Training</t>
  </si>
  <si>
    <t>Max Trainees Per Training</t>
  </si>
  <si>
    <t xml:space="preserve">Note:
Please be aware that recurring costs are based on estimates. A greater quantity may be needed depending on external factors, such as mistakes, spills, expirations, vendors used, etc. Additionally, we do our best to update materials but please double check pricing with the vendor(s) directly. </t>
  </si>
  <si>
    <t>Number of Monthly Monitoring Sites within 400 Meters Downstream of a WWTP</t>
  </si>
  <si>
    <t>Services larger organizations</t>
  </si>
  <si>
    <t xml:space="preserve">One needed for trainer to create examples. Not used in trainings. </t>
  </si>
  <si>
    <t>365 nm UV LED Black Light Flashlight</t>
  </si>
  <si>
    <t>Plastic Bottle</t>
  </si>
  <si>
    <t>Box Cutter/Scalpel</t>
  </si>
  <si>
    <t>Monofilament Line</t>
  </si>
  <si>
    <t>Rope</t>
  </si>
  <si>
    <t>Acquire a used plastic bottle</t>
  </si>
  <si>
    <t>On-Site Bottle Method</t>
  </si>
  <si>
    <t>Off-Site Whirl-Pak Bag Method</t>
  </si>
  <si>
    <t>Number of Sites Using Off-Site Whirl-Pak Bag Method</t>
  </si>
  <si>
    <t>Number of Sites Using On-Site Bottle Method</t>
  </si>
  <si>
    <t>Can be upcycled; Use 1 bottle per site for 6 months</t>
  </si>
  <si>
    <t>Max Attendees Per Training</t>
  </si>
  <si>
    <t>Can be upcycled; Assumes 1 bottle is used for 6 months per site</t>
  </si>
  <si>
    <t>Services individuals &amp; small organization</t>
  </si>
  <si>
    <t>Use rope OR monofilament line; One per monitor using on-site method</t>
  </si>
  <si>
    <t>One per 5 participants for demonstrations</t>
  </si>
  <si>
    <t>Use rope OR monofilament line; Provide attendees with pre-cut line to reuse for each phase</t>
  </si>
  <si>
    <t>Use rope OR monofilament line; Provide attendees with pre-cut rope to reuse for each phase</t>
  </si>
  <si>
    <t xml:space="preserve">Probe Core Kit </t>
  </si>
  <si>
    <t>pH 4 Buffer Solution</t>
  </si>
  <si>
    <t>pH 7 Buffer Solution</t>
  </si>
  <si>
    <t>pH 10 Buffer Solution</t>
  </si>
  <si>
    <t>Only need a Secchi Disk OR a Transparency Tube</t>
  </si>
  <si>
    <t>Batteries for Meters*</t>
  </si>
  <si>
    <t xml:space="preserve">*Meters need 4 batteries at a time. Batteries last approximately 9 months when in use. Quantity needed is not based on monitoring events. </t>
  </si>
  <si>
    <t>pH/Conductivity ExStik II Meter</t>
  </si>
  <si>
    <t>Dissolved Oxygen ExStik II Meter</t>
  </si>
  <si>
    <t>Sample Solution Cups</t>
  </si>
  <si>
    <t xml:space="preserve">Weighted Base </t>
  </si>
  <si>
    <t>Dissolved Oxygen Electrode</t>
  </si>
  <si>
    <t>pH/Conductivity Electrode</t>
  </si>
  <si>
    <t xml:space="preserve">Number of Probe Core Kits </t>
  </si>
  <si>
    <t xml:space="preserve">*Conductivity meters need 4 batteries at a time. Batteries last approximately 9 months when in use. Quantity needed is based on number of kits. </t>
  </si>
  <si>
    <t xml:space="preserve">Number of Standard Core Kits </t>
  </si>
  <si>
    <t xml:space="preserve">Replaced annually on average </t>
  </si>
  <si>
    <t>Comes with 5 extra solution cups</t>
  </si>
  <si>
    <t>Section 4: Recurring Training Supply Needs Per Year*</t>
  </si>
  <si>
    <t>Section 4: Recurring Training Supply Needs Per Year</t>
  </si>
  <si>
    <t xml:space="preserve">*Supply estimates based on the following set up: Phase 1 - On-Site Bottle Method, Phase 2 - Off-Site Whirl-Pak Bag Method, Phase 3 - Both Methods </t>
  </si>
  <si>
    <t>Coliscan EasyGel (Micrology)*</t>
  </si>
  <si>
    <t>Petri Dishes (Micrology)*</t>
  </si>
  <si>
    <t>Membrane Kit for ExStik DO Meter</t>
  </si>
  <si>
    <t>Aluminum Meter Stick</t>
  </si>
  <si>
    <t>Aluminum Meter Stick**</t>
  </si>
  <si>
    <t>Whirl-Pak Bags w/ Standard Thio</t>
  </si>
  <si>
    <t>Whirl-Pak Bags</t>
  </si>
  <si>
    <t>Gray Conductivity Meter - PockeTesterTM</t>
  </si>
  <si>
    <t>Waste Bottle</t>
  </si>
  <si>
    <t>Waste Bottle**</t>
  </si>
  <si>
    <t>Plastic Beaker, 150 mL</t>
  </si>
  <si>
    <t>Can be upcycled; Only needed if waterbody cannot be accessed</t>
  </si>
  <si>
    <t>Can be upcycled; Only needed if the waterbody cannot be accessed</t>
  </si>
  <si>
    <r>
      <t xml:space="preserve">2. For Standard Core, Probe Core, and Advanced protocols, input the quantity your group would like to purchase of each item in the light blue </t>
    </r>
    <r>
      <rPr>
        <i/>
        <sz val="11"/>
        <color theme="1"/>
        <rFont val="Univers"/>
        <family val="2"/>
      </rPr>
      <t>Quantity</t>
    </r>
    <r>
      <rPr>
        <sz val="11"/>
        <color theme="1"/>
        <rFont val="Univers"/>
        <family val="2"/>
      </rPr>
      <t xml:space="preserve"> column. For the </t>
    </r>
    <r>
      <rPr>
        <i/>
        <sz val="11"/>
        <color theme="1"/>
        <rFont val="Univers"/>
        <family val="2"/>
      </rPr>
      <t>E. coli</t>
    </r>
    <r>
      <rPr>
        <sz val="11"/>
        <color theme="1"/>
        <rFont val="Univers"/>
        <family val="2"/>
      </rPr>
      <t xml:space="preserve"> and Optical Brightener protocols, the </t>
    </r>
    <r>
      <rPr>
        <i/>
        <sz val="11"/>
        <color theme="1"/>
        <rFont val="Univers"/>
        <family val="2"/>
      </rPr>
      <t>Quantity</t>
    </r>
    <r>
      <rPr>
        <sz val="11"/>
        <color theme="1"/>
        <rFont val="Univers"/>
        <family val="2"/>
      </rPr>
      <t xml:space="preserve"> column will automatically populate based on the information in the Pre Information for Formulas table. </t>
    </r>
  </si>
  <si>
    <r>
      <t xml:space="preserve">1. For the Standard Core, Probe Core, and Advanced protocols, input the number of monitoring sites you expect to sample each month in the top light blue cell of the </t>
    </r>
    <r>
      <rPr>
        <i/>
        <sz val="11"/>
        <color theme="1"/>
        <rFont val="Univers"/>
        <family val="2"/>
      </rPr>
      <t xml:space="preserve">Monthly Monitoring Sites </t>
    </r>
    <r>
      <rPr>
        <sz val="11"/>
        <color theme="1"/>
        <rFont val="Univers"/>
        <family val="2"/>
      </rPr>
      <t xml:space="preserve">column. This will auto populate the remaining cells in the </t>
    </r>
    <r>
      <rPr>
        <i/>
        <sz val="11"/>
        <color theme="1"/>
        <rFont val="Univers"/>
        <family val="2"/>
      </rPr>
      <t>Monthly Monitoring Sites</t>
    </r>
    <r>
      <rPr>
        <sz val="11"/>
        <color theme="1"/>
        <rFont val="Univers"/>
        <family val="2"/>
      </rPr>
      <t xml:space="preserve"> column as well as the </t>
    </r>
    <r>
      <rPr>
        <i/>
        <sz val="11"/>
        <color theme="1"/>
        <rFont val="Univers"/>
        <family val="2"/>
      </rPr>
      <t>Quantity</t>
    </r>
    <r>
      <rPr>
        <sz val="11"/>
        <color theme="1"/>
        <rFont val="Univers"/>
        <family val="2"/>
      </rPr>
      <t xml:space="preserve"> column. For the </t>
    </r>
    <r>
      <rPr>
        <i/>
        <sz val="11"/>
        <color theme="1"/>
        <rFont val="Univers"/>
        <family val="2"/>
      </rPr>
      <t>E. coli</t>
    </r>
    <r>
      <rPr>
        <sz val="11"/>
        <color theme="1"/>
        <rFont val="Univers"/>
        <family val="2"/>
      </rPr>
      <t xml:space="preserve"> and Optical Brightener protocols, the </t>
    </r>
    <r>
      <rPr>
        <i/>
        <sz val="11"/>
        <color theme="1"/>
        <rFont val="Univers"/>
        <family val="2"/>
      </rPr>
      <t>Quantity</t>
    </r>
    <r>
      <rPr>
        <sz val="11"/>
        <color theme="1"/>
        <rFont val="Univers"/>
        <family val="2"/>
      </rPr>
      <t xml:space="preserve"> column will auto populate based on the information in the Pre Information for Formulas table. Keep in mind that the quantity will round up to the nearest whole number. For instance, if the formula determines 1.2 bottles are needed, the number 2 will be displayed.</t>
    </r>
  </si>
  <si>
    <t>Distilled Water****</t>
  </si>
  <si>
    <t>DI Wash Bottle</t>
  </si>
  <si>
    <t>DI Wash Bottle*</t>
  </si>
  <si>
    <t xml:space="preserve">1. Some items may be upcycled as opposed to purchased new. If you will be upcycling any items or do not need to purchase an item, you may leave the associated quantity cell blank. </t>
  </si>
  <si>
    <t xml:space="preserve">1. Texas Stream Team encourages the use of expired reagents for training purposes. If you will be using expired reagents only, you may change the associated price of each reagent to $0.00 but the table may help determine how many bottles you need. </t>
  </si>
  <si>
    <t>This form is intended to be customizable. Items that may need to be changed to align with your groups circumstances may include: vendors, prices, optional items, etc. If you select an alternate item, make sure the item is sold in the same quantity as the linked item. If not, this may impact the formulas. If you need help, reach out to TXStreamTeam@txstate.edu.</t>
  </si>
  <si>
    <t>Assumes rinsing requires 50 mL of distilled water</t>
  </si>
  <si>
    <t>Assumes rinsing requires 50mL of distilled water</t>
  </si>
  <si>
    <t xml:space="preserve">Reuse same solution for each phase. </t>
  </si>
  <si>
    <t>Assumes rinsing requires 50 mL of distilled water.</t>
  </si>
  <si>
    <t>Number of Monitors Using On-Site Method</t>
  </si>
  <si>
    <t>Number of Monitors Using Off-Site Method</t>
  </si>
  <si>
    <t>Thermometer, Armored, Centigrade</t>
  </si>
  <si>
    <t>Titrator (0 to 10 Range) (DO)</t>
  </si>
  <si>
    <t>Titration Vial, 20 mL w/ Cap (DO)</t>
  </si>
  <si>
    <t>Test Tube, 10 mL, Plastic, w/ Cap (pH)</t>
  </si>
  <si>
    <t>Test Tube, 10 mL , Plastic, w/ Cap (N)</t>
  </si>
  <si>
    <t>Nitrate-Nitrogen Octa-Slide 2 Bar (0-15 ppm) (N)</t>
  </si>
  <si>
    <t>Plastic Analytical Funnel</t>
  </si>
  <si>
    <t xml:space="preserve">Thermometer, Armored, Centigrade </t>
  </si>
  <si>
    <r>
      <t xml:space="preserve">3. The total training cost will be displayed in the </t>
    </r>
    <r>
      <rPr>
        <i/>
        <sz val="11"/>
        <color theme="1"/>
        <rFont val="Univers"/>
        <family val="2"/>
      </rPr>
      <t>Total</t>
    </r>
    <r>
      <rPr>
        <sz val="11"/>
        <color theme="1"/>
        <rFont val="Univers"/>
        <family val="2"/>
      </rPr>
      <t xml:space="preserve"> row. </t>
    </r>
  </si>
  <si>
    <t>Equipment 
Directory</t>
  </si>
  <si>
    <t xml:space="preserve">Section 2: Recurring Monitoring Costs Per Year </t>
  </si>
  <si>
    <t>Reagent</t>
  </si>
  <si>
    <t>Training</t>
  </si>
  <si>
    <t>Container Size</t>
  </si>
  <si>
    <t>Longevity (# of Monitoring Events)</t>
  </si>
  <si>
    <t>Longevity</t>
  </si>
  <si>
    <t>Manganous Sulfate Solution</t>
  </si>
  <si>
    <t>Alkaline Potassium Iodide with Azide</t>
  </si>
  <si>
    <t>Sulfuric Acid</t>
  </si>
  <si>
    <t>Starch Indicator Solution</t>
  </si>
  <si>
    <t>Sodium Thiosulfate</t>
  </si>
  <si>
    <t>Wide Range Indicator Solution</t>
  </si>
  <si>
    <t>pH Standard</t>
  </si>
  <si>
    <t>Insta-Test Analysis Phosphate Strips</t>
  </si>
  <si>
    <t>Standard Core</t>
  </si>
  <si>
    <t>Standard/Probe Core</t>
  </si>
  <si>
    <t>Advanced</t>
  </si>
  <si>
    <t>30 mL</t>
  </si>
  <si>
    <t>60 mL</t>
  </si>
  <si>
    <t>1000 mL</t>
  </si>
  <si>
    <t>50 tabs</t>
  </si>
  <si>
    <t>25 strips</t>
  </si>
  <si>
    <t>29 mL</t>
  </si>
  <si>
    <t>~57</t>
  </si>
  <si>
    <t>~56</t>
  </si>
  <si>
    <t>~68</t>
  </si>
  <si>
    <t>~41</t>
  </si>
  <si>
    <t>~27</t>
  </si>
  <si>
    <t>~145</t>
  </si>
  <si>
    <t>~50</t>
  </si>
  <si>
    <t>~25</t>
  </si>
  <si>
    <t>~58</t>
  </si>
  <si>
    <t>Reagent Longevity</t>
  </si>
  <si>
    <t xml:space="preserve">*Coliscan EasyGel and Petri Dishes can be purchased through Micrology or Weber. Only select one vendor based on the information provided in the comments column. For the vendor you will not be using, change the price to zero. </t>
  </si>
  <si>
    <t xml:space="preserve">*Coliscan EasyGel and Petri Dishes can be purchased through Micrology or Weber. Only select one vendor based on the information provided in the comments column. For the vendor you will not be using, change the number of trainings to zero. </t>
  </si>
  <si>
    <t>Number of Sets of Supplies Needed for Trainers</t>
  </si>
  <si>
    <t>Can be upcycled; Only needed if the waterbody cannot be accessed; One per 2 participants</t>
  </si>
  <si>
    <t xml:space="preserve">1. For all trainings, input the information requested in the cells highlighted in light blue. Depending on the training, this information will be used to populate tables one and two (E. coli and Optical Brightener) or select cells (Standard Core and Probe). Additionally, the formulas will help determine quantity training materials. </t>
  </si>
  <si>
    <t xml:space="preserve">The last sheet titled "Reagent Longevity" provides a reference table on how many monitoring events each reagent can supply. The table is purely included for reference purposes. </t>
  </si>
  <si>
    <r>
      <t xml:space="preserve">The following instructions are to be used for completing the sheets titled Standard Core, Probe Core, </t>
    </r>
    <r>
      <rPr>
        <i/>
        <sz val="11"/>
        <rFont val="Univers"/>
        <family val="2"/>
      </rPr>
      <t>E. Coli</t>
    </r>
    <r>
      <rPr>
        <sz val="11"/>
        <rFont val="Univers"/>
        <family val="2"/>
      </rPr>
      <t xml:space="preserve"> Bacteria, Optical Brightener and Advanced. </t>
    </r>
  </si>
  <si>
    <t>***Gallons of distilled water needed is based on the assumption that 1 DI Wash Bottle holds 16 ounces.</t>
  </si>
  <si>
    <t>Distilled Water**</t>
  </si>
  <si>
    <t xml:space="preserve">**Gallons of distilled water needed is based on the assumption that 1 DI Wash Bottle holds 16 ounces and 1 wash bottle lasts two trainings. </t>
  </si>
  <si>
    <t xml:space="preserve">****Gallons of distilled water needed is based on the assumption that 1 DI Wash Bottle holds 16 ounces and 1 wash bottle lasts two trainings. </t>
  </si>
  <si>
    <t xml:space="preserve">****Gallons of distilled water needed is based on the assumption that 1 DI Wash Bottle holds 16 ounces and 1 wash bottle lasts 2 trainings. </t>
  </si>
  <si>
    <r>
      <t xml:space="preserve">2. Input the number of trainees you expect to train in one session in the top light blue cell of the </t>
    </r>
    <r>
      <rPr>
        <i/>
        <sz val="11"/>
        <color theme="1"/>
        <rFont val="Univers"/>
        <family val="2"/>
      </rPr>
      <t xml:space="preserve">Number of Trainees </t>
    </r>
    <r>
      <rPr>
        <sz val="11"/>
        <color theme="1"/>
        <rFont val="Univers"/>
        <family val="2"/>
      </rPr>
      <t xml:space="preserve">column. This will auto populate the remaining cells in the </t>
    </r>
    <r>
      <rPr>
        <i/>
        <sz val="11"/>
        <color theme="1"/>
        <rFont val="Univers"/>
        <family val="2"/>
      </rPr>
      <t>Number of Trainees</t>
    </r>
    <r>
      <rPr>
        <sz val="11"/>
        <color theme="1"/>
        <rFont val="Univers"/>
        <family val="2"/>
      </rPr>
      <t xml:space="preserve"> column as well as the </t>
    </r>
    <r>
      <rPr>
        <i/>
        <sz val="11"/>
        <color theme="1"/>
        <rFont val="Univers"/>
        <family val="2"/>
      </rPr>
      <t>Quantity</t>
    </r>
    <r>
      <rPr>
        <sz val="11"/>
        <color theme="1"/>
        <rFont val="Univers"/>
        <family val="2"/>
      </rPr>
      <t xml:space="preserve"> column. Keep in mind that the quantity will round up to the nearest whole number. For instance, if the formula determines 1.2 bottles are needed, the number 2 will be displayed. </t>
    </r>
    <r>
      <rPr>
        <b/>
        <sz val="11"/>
        <color theme="1"/>
        <rFont val="Univers"/>
        <family val="2"/>
      </rPr>
      <t xml:space="preserve">Do not include the number of trainers in the </t>
    </r>
    <r>
      <rPr>
        <b/>
        <i/>
        <sz val="11"/>
        <color theme="1"/>
        <rFont val="Univers"/>
        <family val="2"/>
      </rPr>
      <t>Number of Trainees</t>
    </r>
    <r>
      <rPr>
        <b/>
        <sz val="11"/>
        <color theme="1"/>
        <rFont val="Univers"/>
        <family val="2"/>
      </rPr>
      <t xml:space="preserve"> column. Supplies for trainers are built into the formulas and are based on the </t>
    </r>
    <r>
      <rPr>
        <b/>
        <i/>
        <sz val="11"/>
        <color theme="1"/>
        <rFont val="Univers"/>
        <family val="2"/>
      </rPr>
      <t>Pre-Information for Formulas</t>
    </r>
    <r>
      <rPr>
        <b/>
        <sz val="11"/>
        <color theme="1"/>
        <rFont val="Univers"/>
        <family val="2"/>
      </rPr>
      <t xml:space="preserve"> table.</t>
    </r>
  </si>
  <si>
    <t>Section 2: Recurring Monitoring Costs Per Year - Refers to the cost to continue monitoring each year</t>
  </si>
  <si>
    <t xml:space="preserve">Section 4: Recurring Training Costs Per Year - Refers to the cost to continue training each year. </t>
  </si>
  <si>
    <r>
      <t xml:space="preserve">3. Input the max number of trainees you expect to train in each session in the top light blue cell of the </t>
    </r>
    <r>
      <rPr>
        <i/>
        <sz val="11"/>
        <color theme="1"/>
        <rFont val="Univers"/>
        <family val="2"/>
      </rPr>
      <t>Max Number of Trainees</t>
    </r>
    <r>
      <rPr>
        <sz val="11"/>
        <color theme="1"/>
        <rFont val="Univers"/>
        <family val="2"/>
      </rPr>
      <t xml:space="preserve"> column. This will auto populate the remaining cells in the </t>
    </r>
    <r>
      <rPr>
        <i/>
        <sz val="11"/>
        <color theme="1"/>
        <rFont val="Univers"/>
        <family val="2"/>
      </rPr>
      <t>Max Number of Trainees</t>
    </r>
    <r>
      <rPr>
        <sz val="11"/>
        <color theme="1"/>
        <rFont val="Univers"/>
        <family val="2"/>
      </rPr>
      <t xml:space="preserve"> column as well as the </t>
    </r>
    <r>
      <rPr>
        <i/>
        <sz val="11"/>
        <color theme="1"/>
        <rFont val="Univers"/>
        <family val="2"/>
      </rPr>
      <t>Quantity</t>
    </r>
    <r>
      <rPr>
        <sz val="11"/>
        <color theme="1"/>
        <rFont val="Univers"/>
        <family val="2"/>
      </rPr>
      <t xml:space="preserve"> column. Keep in mind that the quantity will round up to the nearest whole number. For instance, if the formula determines 1.2 bottles are needed, the number 2 will be displayed. Additionally, the formula is based on the </t>
    </r>
    <r>
      <rPr>
        <i/>
        <sz val="11"/>
        <color theme="1"/>
        <rFont val="Univers"/>
        <family val="2"/>
      </rPr>
      <t>Max Number of Trainees</t>
    </r>
    <r>
      <rPr>
        <sz val="11"/>
        <color theme="1"/>
        <rFont val="Univers"/>
        <family val="2"/>
      </rPr>
      <t xml:space="preserve"> so the value provided will be a high estimate. </t>
    </r>
  </si>
  <si>
    <t>Probe Core</t>
  </si>
  <si>
    <t>Probe Core Kit*</t>
  </si>
  <si>
    <t>pH 4 Buffer Solution*</t>
  </si>
  <si>
    <t>pH 7 Buffer Solution*</t>
  </si>
  <si>
    <t>pH 10 Buffer Solution*</t>
  </si>
  <si>
    <t>Only need one type of pH buffer solution</t>
  </si>
  <si>
    <t xml:space="preserve">Reuse same solution for each phase; Only need one type of pH buffer. </t>
  </si>
  <si>
    <t>~20</t>
  </si>
  <si>
    <t>pH 4 Buffer Solution**</t>
  </si>
  <si>
    <t>pH 7 Buffer Solution**</t>
  </si>
  <si>
    <t>pH 10 Buffer Solution**</t>
  </si>
  <si>
    <t xml:space="preserve">Section 3: Startup Training Costs (for one training) - Refers to the cost to conducted one training. </t>
  </si>
  <si>
    <t>Instructional Notes</t>
  </si>
  <si>
    <r>
      <t xml:space="preserve">Additional instructional notes may be found on each sheet attached to the cells that require input. The notes are set to be shown at all times. If you would like to collapse the notes, navigate to the tab titled </t>
    </r>
    <r>
      <rPr>
        <i/>
        <sz val="11"/>
        <rFont val="Univers"/>
        <family val="2"/>
      </rPr>
      <t xml:space="preserve">Review. </t>
    </r>
    <r>
      <rPr>
        <sz val="11"/>
        <rFont val="Univers"/>
        <family val="2"/>
      </rPr>
      <t xml:space="preserve">Select the drop down arrow next to </t>
    </r>
    <r>
      <rPr>
        <i/>
        <sz val="11"/>
        <rFont val="Univers"/>
        <family val="2"/>
      </rPr>
      <t xml:space="preserve">Notes, </t>
    </r>
    <r>
      <rPr>
        <sz val="11"/>
        <rFont val="Univers"/>
        <family val="2"/>
      </rPr>
      <t xml:space="preserve">and select </t>
    </r>
    <r>
      <rPr>
        <i/>
        <sz val="11"/>
        <rFont val="Univers"/>
        <family val="2"/>
      </rPr>
      <t>Show all Notes</t>
    </r>
    <r>
      <rPr>
        <sz val="11"/>
        <rFont val="Univers"/>
        <family val="2"/>
      </rPr>
      <t>.</t>
    </r>
  </si>
  <si>
    <t>Assumeption of 2mL of DI water per field blank</t>
  </si>
  <si>
    <t>Coliscan EasyGel &amp; Petri Dishes (Micrology)*</t>
  </si>
  <si>
    <t xml:space="preserve">*Coliscan EasyGel and Petri Dishes can be purchased through Micrology or Weber. Only select one vendor based on the information provided in the comments column. For the vendor you will not be using, change the number of trainees to zero. </t>
  </si>
  <si>
    <t>Extension Pole**</t>
  </si>
  <si>
    <t xml:space="preserve">**May opt to have one available only for practice and demonstration. </t>
  </si>
  <si>
    <t>Use rope OR monofilament line; Provide attendees with 1M pre-cut line to reuse for each phase</t>
  </si>
  <si>
    <t>Use rope OR monofilament line; Provide attendees with 1M pre-cut rope to reuse for each phase</t>
  </si>
  <si>
    <t>Assumes each site needs 1 per year</t>
  </si>
  <si>
    <t>Can be replaced with watch/phone</t>
  </si>
  <si>
    <t>Glass Sample Bottle, 60 mL (DO)</t>
  </si>
  <si>
    <t>1 Gallon Plastic Bucket</t>
  </si>
  <si>
    <t>1 Gallon Plastic Bucket**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</si>
</sst>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Univers"/>
      <family val="2"/>
    </font>
    <font>
      <b/>
      <sz val="11"/>
      <color theme="1"/>
      <name val="Univers"/>
      <family val="2"/>
    </font>
    <font>
      <u/>
      <sz val="11"/>
      <color theme="10"/>
      <name val="Aptos Narrow"/>
      <family val="2"/>
      <scheme val="minor"/>
    </font>
    <font>
      <sz val="11"/>
      <name val="Univers"/>
      <family val="2"/>
    </font>
    <font>
      <sz val="11"/>
      <color theme="0"/>
      <name val="Univers"/>
      <family val="2"/>
    </font>
    <font>
      <b/>
      <sz val="11"/>
      <color theme="0"/>
      <name val="Univers"/>
      <family val="2"/>
    </font>
    <font>
      <i/>
      <sz val="11"/>
      <color theme="1"/>
      <name val="Univers"/>
      <family val="2"/>
    </font>
    <font>
      <b/>
      <sz val="11"/>
      <name val="Univers"/>
      <family val="2"/>
    </font>
    <font>
      <sz val="9"/>
      <color indexed="81"/>
      <name val="Tahoma"/>
      <family val="2"/>
    </font>
    <font>
      <u/>
      <sz val="11"/>
      <color theme="4"/>
      <name val="Univers"/>
      <family val="2"/>
    </font>
    <font>
      <sz val="11"/>
      <name val="Aptos Narrow"/>
      <family val="2"/>
      <scheme val="minor"/>
    </font>
    <font>
      <b/>
      <sz val="9"/>
      <color indexed="81"/>
      <name val="Univers"/>
      <family val="2"/>
    </font>
    <font>
      <sz val="9"/>
      <color indexed="81"/>
      <name val="Univers"/>
      <family val="2"/>
    </font>
    <font>
      <i/>
      <sz val="9"/>
      <color indexed="81"/>
      <name val="Univers"/>
      <family val="2"/>
    </font>
    <font>
      <i/>
      <sz val="11"/>
      <name val="Univers"/>
      <family val="2"/>
    </font>
    <font>
      <sz val="9"/>
      <color indexed="81"/>
      <name val="Tahoma"/>
      <charset val="1"/>
    </font>
    <font>
      <b/>
      <i/>
      <sz val="11"/>
      <color theme="1"/>
      <name val="Univers"/>
      <family val="2"/>
    </font>
    <font>
      <b/>
      <u/>
      <sz val="11"/>
      <color theme="0"/>
      <name val="Univers"/>
      <family val="2"/>
    </font>
  </fonts>
  <fills count="5">
    <fill>
      <patternFill patternType="none"/>
    </fill>
    <fill>
      <patternFill patternType="gray125"/>
    </fill>
    <fill>
      <patternFill patternType="solid">
        <fgColor rgb="FF005481"/>
        <bgColor indexed="64"/>
      </patternFill>
    </fill>
    <fill>
      <patternFill patternType="solid">
        <fgColor rgb="FF6EA095"/>
        <bgColor indexed="64"/>
      </patternFill>
    </fill>
    <fill>
      <patternFill patternType="solid">
        <fgColor rgb="FFBDE7FF"/>
        <bgColor indexed="64"/>
      </patternFill>
    </fill>
  </fills>
  <borders count="14">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26">
    <xf numFmtId="0" fontId="0" fillId="0" borderId="0" xfId="0"/>
    <xf numFmtId="0" fontId="1" fillId="0" borderId="0" xfId="0" applyFont="1"/>
    <xf numFmtId="0" fontId="1" fillId="0" borderId="1" xfId="0" applyFont="1" applyBorder="1"/>
    <xf numFmtId="0" fontId="1" fillId="0" borderId="2" xfId="0" applyFont="1" applyBorder="1"/>
    <xf numFmtId="44" fontId="1" fillId="0" borderId="0" xfId="0" applyNumberFormat="1" applyFont="1"/>
    <xf numFmtId="44" fontId="1" fillId="0" borderId="1" xfId="0" applyNumberFormat="1" applyFont="1" applyBorder="1"/>
    <xf numFmtId="44" fontId="1" fillId="0" borderId="2" xfId="0" applyNumberFormat="1" applyFont="1" applyBorder="1"/>
    <xf numFmtId="0" fontId="1" fillId="0" borderId="0" xfId="0" applyFont="1" applyAlignment="1">
      <alignment vertical="top" wrapText="1"/>
    </xf>
    <xf numFmtId="0" fontId="1" fillId="0" borderId="0" xfId="1" applyFont="1"/>
    <xf numFmtId="0" fontId="4" fillId="0" borderId="0" xfId="1" applyFont="1"/>
    <xf numFmtId="0" fontId="1" fillId="0" borderId="5" xfId="0" applyFont="1" applyBorder="1" applyAlignment="1">
      <alignment horizontal="left" vertical="top" wrapText="1"/>
    </xf>
    <xf numFmtId="0" fontId="5" fillId="3" borderId="0" xfId="0" applyFont="1" applyFill="1" applyAlignment="1">
      <alignment horizontal="center"/>
    </xf>
    <xf numFmtId="0" fontId="1" fillId="4" borderId="0" xfId="0" applyFont="1" applyFill="1"/>
    <xf numFmtId="0" fontId="5" fillId="3" borderId="0" xfId="0" applyFont="1" applyFill="1" applyAlignment="1">
      <alignment horizontal="center"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4" borderId="0" xfId="0" applyFont="1" applyFill="1" applyAlignment="1">
      <alignment horizontal="center"/>
    </xf>
    <xf numFmtId="0" fontId="1" fillId="4" borderId="1" xfId="0" applyFont="1" applyFill="1" applyBorder="1" applyAlignment="1">
      <alignment horizontal="center" vertical="center"/>
    </xf>
    <xf numFmtId="0" fontId="5" fillId="3" borderId="0" xfId="0" applyFont="1" applyFill="1" applyAlignment="1">
      <alignment horizontal="center" vertical="center" wrapText="1"/>
    </xf>
    <xf numFmtId="0" fontId="1" fillId="3" borderId="0" xfId="0" applyFont="1" applyFill="1" applyAlignment="1">
      <alignment horizontal="center"/>
    </xf>
    <xf numFmtId="0" fontId="2" fillId="0" borderId="1" xfId="0" applyFont="1" applyBorder="1" applyAlignment="1">
      <alignment horizontal="left"/>
    </xf>
    <xf numFmtId="0" fontId="5" fillId="3" borderId="0" xfId="0" applyFont="1" applyFill="1" applyAlignment="1">
      <alignment horizontal="left"/>
    </xf>
    <xf numFmtId="44" fontId="2" fillId="0" borderId="2" xfId="0" applyNumberFormat="1" applyFont="1" applyBorder="1"/>
    <xf numFmtId="0" fontId="4" fillId="0" borderId="0" xfId="1" applyFont="1" applyFill="1"/>
    <xf numFmtId="0" fontId="1" fillId="0" borderId="0" xfId="0" applyFont="1" applyAlignment="1">
      <alignment vertical="center"/>
    </xf>
    <xf numFmtId="44" fontId="1" fillId="0" borderId="0" xfId="0" applyNumberFormat="1" applyFont="1" applyAlignment="1">
      <alignment vertical="center"/>
    </xf>
    <xf numFmtId="44" fontId="1" fillId="0" borderId="1" xfId="0" applyNumberFormat="1" applyFont="1" applyBorder="1" applyAlignment="1">
      <alignment vertical="center"/>
    </xf>
    <xf numFmtId="0" fontId="5" fillId="0" borderId="0" xfId="0" applyFont="1" applyAlignment="1">
      <alignment horizontal="center" vertical="center"/>
    </xf>
    <xf numFmtId="0" fontId="0" fillId="0" borderId="2" xfId="0" applyBorder="1"/>
    <xf numFmtId="0" fontId="4" fillId="0" borderId="1" xfId="1" applyFont="1" applyFill="1" applyBorder="1"/>
    <xf numFmtId="0" fontId="1" fillId="0" borderId="0" xfId="0" applyFont="1" applyAlignment="1">
      <alignment horizontal="center"/>
    </xf>
    <xf numFmtId="0" fontId="1" fillId="4" borderId="1" xfId="0" applyFont="1" applyFill="1" applyBorder="1" applyAlignment="1">
      <alignment horizontal="center"/>
    </xf>
    <xf numFmtId="1" fontId="1" fillId="0" borderId="0" xfId="0" applyNumberFormat="1" applyFont="1" applyAlignment="1">
      <alignment horizontal="center"/>
    </xf>
    <xf numFmtId="0" fontId="1" fillId="0" borderId="1" xfId="0" applyFont="1" applyBorder="1" applyAlignment="1">
      <alignment horizontal="center"/>
    </xf>
    <xf numFmtId="0" fontId="4" fillId="0" borderId="0" xfId="1" applyFont="1" applyFill="1" applyBorder="1" applyAlignment="1">
      <alignment horizontal="center"/>
    </xf>
    <xf numFmtId="0" fontId="0" fillId="0" borderId="1" xfId="0" applyBorder="1"/>
    <xf numFmtId="0" fontId="5" fillId="3" borderId="0" xfId="0" applyFont="1" applyFill="1" applyAlignment="1">
      <alignment vertical="center"/>
    </xf>
    <xf numFmtId="0" fontId="1" fillId="3" borderId="0" xfId="0" applyFont="1" applyFill="1"/>
    <xf numFmtId="0" fontId="4" fillId="0" borderId="0" xfId="1" applyFont="1" applyFill="1" applyAlignment="1">
      <alignment horizontal="left"/>
    </xf>
    <xf numFmtId="0" fontId="4" fillId="0" borderId="0" xfId="1" applyFont="1" applyAlignment="1">
      <alignment horizontal="left"/>
    </xf>
    <xf numFmtId="0" fontId="4" fillId="0" borderId="1" xfId="1" applyFont="1" applyBorder="1" applyAlignment="1">
      <alignment horizontal="left"/>
    </xf>
    <xf numFmtId="0" fontId="4" fillId="0" borderId="0" xfId="1" applyFont="1" applyBorder="1" applyAlignment="1">
      <alignment horizontal="left"/>
    </xf>
    <xf numFmtId="44" fontId="1" fillId="0" borderId="11" xfId="0" applyNumberFormat="1" applyFont="1" applyBorder="1"/>
    <xf numFmtId="0" fontId="1" fillId="0" borderId="11" xfId="0" applyFont="1" applyBorder="1"/>
    <xf numFmtId="0" fontId="1" fillId="0" borderId="0" xfId="0" quotePrefix="1" applyFont="1" applyAlignment="1">
      <alignment horizontal="center"/>
    </xf>
    <xf numFmtId="0" fontId="1" fillId="0" borderId="0" xfId="1" applyFont="1" applyFill="1" applyAlignment="1">
      <alignment horizontal="center"/>
    </xf>
    <xf numFmtId="0" fontId="0" fillId="0" borderId="1" xfId="0" applyBorder="1" applyAlignment="1">
      <alignment horizontal="center"/>
    </xf>
    <xf numFmtId="0" fontId="4" fillId="0" borderId="0" xfId="1" applyFont="1" applyFill="1" applyAlignment="1">
      <alignment horizontal="center"/>
    </xf>
    <xf numFmtId="0" fontId="1" fillId="0" borderId="1" xfId="1" applyFont="1" applyFill="1" applyBorder="1" applyAlignment="1">
      <alignment horizontal="center"/>
    </xf>
    <xf numFmtId="0" fontId="1" fillId="0" borderId="0" xfId="1" applyFont="1" applyAlignment="1"/>
    <xf numFmtId="0" fontId="4" fillId="0" borderId="0" xfId="1" applyFont="1" applyAlignment="1"/>
    <xf numFmtId="44" fontId="1" fillId="0" borderId="0" xfId="0" applyNumberFormat="1" applyFont="1" applyAlignment="1">
      <alignment horizontal="center"/>
    </xf>
    <xf numFmtId="0" fontId="4" fillId="0" borderId="0" xfId="0" applyFont="1" applyAlignment="1">
      <alignment horizontal="left"/>
    </xf>
    <xf numFmtId="0" fontId="4" fillId="0" borderId="0" xfId="1" applyFont="1" applyAlignment="1">
      <alignment horizontal="center"/>
    </xf>
    <xf numFmtId="0" fontId="1" fillId="0" borderId="0" xfId="1" applyFont="1" applyAlignment="1">
      <alignment horizontal="center"/>
    </xf>
    <xf numFmtId="0" fontId="4" fillId="4" borderId="0" xfId="0" applyFont="1" applyFill="1" applyAlignment="1">
      <alignment horizontal="center"/>
    </xf>
    <xf numFmtId="44" fontId="4" fillId="0" borderId="0" xfId="0" applyNumberFormat="1" applyFont="1" applyAlignment="1">
      <alignment horizontal="center"/>
    </xf>
    <xf numFmtId="0" fontId="1" fillId="4" borderId="0" xfId="1" applyFont="1" applyFill="1" applyAlignment="1">
      <alignment horizontal="center"/>
    </xf>
    <xf numFmtId="0" fontId="11" fillId="0" borderId="0" xfId="0" applyFont="1"/>
    <xf numFmtId="0" fontId="1" fillId="0" borderId="0" xfId="0" applyFont="1" applyAlignment="1">
      <alignment horizontal="left"/>
    </xf>
    <xf numFmtId="0" fontId="1" fillId="0" borderId="3" xfId="0" applyFont="1" applyBorder="1" applyAlignment="1">
      <alignment vertical="top" wrapText="1"/>
    </xf>
    <xf numFmtId="0" fontId="4" fillId="0" borderId="0" xfId="1" applyFont="1" applyFill="1" applyAlignment="1"/>
    <xf numFmtId="0" fontId="1" fillId="0" borderId="0" xfId="1" applyFont="1" applyFill="1" applyBorder="1" applyAlignment="1">
      <alignment horizontal="center"/>
    </xf>
    <xf numFmtId="44" fontId="4" fillId="0" borderId="0" xfId="0" applyNumberFormat="1" applyFont="1"/>
    <xf numFmtId="0" fontId="1" fillId="0" borderId="13" xfId="0" applyFont="1" applyBorder="1"/>
    <xf numFmtId="0" fontId="1" fillId="0" borderId="0" xfId="0" quotePrefix="1" applyFont="1" applyAlignment="1">
      <alignment horizontal="center" vertical="center"/>
    </xf>
    <xf numFmtId="0" fontId="1" fillId="0" borderId="0" xfId="0" applyFont="1" applyAlignment="1">
      <alignment horizontal="left" vertical="top"/>
    </xf>
    <xf numFmtId="0" fontId="1" fillId="0" borderId="4" xfId="0" applyFont="1" applyBorder="1" applyAlignment="1">
      <alignment vertical="top" wrapText="1"/>
    </xf>
    <xf numFmtId="0" fontId="6" fillId="3" borderId="0" xfId="0" applyFont="1" applyFill="1" applyAlignment="1">
      <alignment horizont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center" wrapText="1"/>
    </xf>
    <xf numFmtId="0" fontId="6" fillId="2" borderId="0" xfId="0" applyFont="1" applyFill="1" applyAlignment="1">
      <alignment horizontal="center"/>
    </xf>
    <xf numFmtId="0" fontId="4" fillId="0" borderId="0" xfId="1"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left" vertical="top" wrapText="1"/>
    </xf>
    <xf numFmtId="0" fontId="6" fillId="3" borderId="0" xfId="0" applyFont="1" applyFill="1" applyAlignment="1">
      <alignment horizontal="center" wrapText="1"/>
    </xf>
    <xf numFmtId="0" fontId="18" fillId="2" borderId="0" xfId="1" applyFont="1" applyFill="1" applyAlignment="1">
      <alignment horizontal="center" wrapText="1"/>
    </xf>
    <xf numFmtId="0" fontId="18" fillId="2" borderId="0" xfId="1" applyFont="1" applyFill="1" applyAlignment="1">
      <alignment horizontal="center"/>
    </xf>
    <xf numFmtId="0" fontId="4" fillId="0" borderId="0" xfId="1" applyFont="1" applyAlignment="1">
      <alignment horizontal="center" vertical="top" wrapText="1"/>
    </xf>
    <xf numFmtId="0" fontId="1" fillId="0" borderId="0" xfId="0" applyFont="1" applyAlignment="1">
      <alignment horizontal="center" vertical="top" wrapText="1"/>
    </xf>
    <xf numFmtId="0" fontId="1" fillId="0" borderId="11" xfId="0" applyFont="1"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left"/>
    </xf>
    <xf numFmtId="0" fontId="4" fillId="0" borderId="0" xfId="1" applyFont="1" applyFill="1" applyBorder="1" applyAlignment="1">
      <alignment horizontal="left"/>
    </xf>
    <xf numFmtId="0" fontId="1" fillId="0" borderId="0" xfId="1"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 fillId="0" borderId="11" xfId="0" applyFont="1" applyBorder="1" applyAlignment="1">
      <alignment horizontal="center"/>
    </xf>
    <xf numFmtId="0" fontId="1" fillId="0" borderId="1" xfId="1" applyFont="1" applyBorder="1" applyAlignment="1">
      <alignment horizontal="left"/>
    </xf>
    <xf numFmtId="0" fontId="4" fillId="0" borderId="0" xfId="1" applyFont="1" applyAlignment="1">
      <alignment horizontal="left"/>
    </xf>
    <xf numFmtId="0" fontId="6" fillId="2" borderId="7" xfId="0" applyFont="1" applyFill="1" applyBorder="1" applyAlignment="1">
      <alignment horizontal="center"/>
    </xf>
    <xf numFmtId="0" fontId="5" fillId="3" borderId="0" xfId="0" applyFont="1" applyFill="1" applyAlignment="1">
      <alignment horizontal="center"/>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4" fillId="0" borderId="0" xfId="0" applyFont="1" applyAlignment="1">
      <alignment horizontal="center"/>
    </xf>
    <xf numFmtId="0" fontId="4" fillId="0" borderId="0" xfId="1" applyFont="1" applyBorder="1" applyAlignment="1">
      <alignment horizontal="left"/>
    </xf>
    <xf numFmtId="0" fontId="8" fillId="0" borderId="2" xfId="1" applyFont="1" applyFill="1" applyBorder="1" applyAlignment="1">
      <alignment horizontal="left"/>
    </xf>
    <xf numFmtId="0" fontId="4" fillId="0" borderId="0" xfId="1" applyFont="1" applyFill="1" applyAlignment="1">
      <alignment horizontal="left"/>
    </xf>
    <xf numFmtId="0" fontId="4" fillId="0" borderId="1" xfId="1" applyFont="1" applyBorder="1" applyAlignment="1">
      <alignment horizontal="left"/>
    </xf>
    <xf numFmtId="0" fontId="1" fillId="0" borderId="11" xfId="0" applyFont="1" applyBorder="1" applyAlignment="1">
      <alignment horizontal="left"/>
    </xf>
    <xf numFmtId="0" fontId="5" fillId="3" borderId="0" xfId="0" applyFont="1" applyFill="1" applyAlignment="1">
      <alignment horizontal="center" vertical="center"/>
    </xf>
    <xf numFmtId="0" fontId="0" fillId="0" borderId="11" xfId="0" applyBorder="1" applyAlignment="1">
      <alignment horizontal="center"/>
    </xf>
    <xf numFmtId="0" fontId="1" fillId="0" borderId="11" xfId="0" applyFont="1" applyBorder="1" applyAlignment="1">
      <alignment horizontal="left" wrapText="1"/>
    </xf>
    <xf numFmtId="0" fontId="4" fillId="0" borderId="1" xfId="1" applyFont="1" applyFill="1" applyBorder="1" applyAlignment="1">
      <alignment horizontal="left"/>
    </xf>
    <xf numFmtId="0" fontId="2" fillId="0" borderId="11" xfId="0" applyFont="1" applyBorder="1" applyAlignment="1">
      <alignment horizontal="left"/>
    </xf>
    <xf numFmtId="0" fontId="4" fillId="0" borderId="0" xfId="1" applyFont="1" applyFill="1" applyBorder="1" applyAlignment="1"/>
    <xf numFmtId="0" fontId="5" fillId="3" borderId="0" xfId="1" applyFont="1" applyFill="1" applyBorder="1" applyAlignment="1">
      <alignment horizontal="center"/>
    </xf>
    <xf numFmtId="0" fontId="5" fillId="3" borderId="0" xfId="1" applyFont="1" applyFill="1" applyAlignment="1">
      <alignment horizontal="center"/>
    </xf>
    <xf numFmtId="0" fontId="1" fillId="0" borderId="0" xfId="1" applyFont="1" applyAlignment="1"/>
    <xf numFmtId="0" fontId="4" fillId="0" borderId="0" xfId="1" applyFont="1" applyAlignment="1"/>
    <xf numFmtId="0" fontId="4" fillId="0" borderId="0" xfId="0" applyFont="1" applyAlignment="1">
      <alignment horizontal="left"/>
    </xf>
    <xf numFmtId="0" fontId="5" fillId="0" borderId="0" xfId="0" applyFont="1" applyAlignment="1">
      <alignment horizontal="center"/>
    </xf>
    <xf numFmtId="0" fontId="4" fillId="0" borderId="1" xfId="0" applyFont="1" applyBorder="1" applyAlignment="1">
      <alignment horizontal="left"/>
    </xf>
    <xf numFmtId="0" fontId="5" fillId="0" borderId="1" xfId="0" applyFont="1" applyBorder="1" applyAlignment="1">
      <alignment horizontal="center"/>
    </xf>
    <xf numFmtId="0" fontId="2" fillId="0" borderId="12"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6EA095"/>
      <color rgb="FF005481"/>
      <color rgb="FFBDE7FF"/>
      <color rgb="FFC7D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adowscenter.txst.edu/leadership/texasstreamteam/forms-and-resources/equipment/equipment-directory.html" TargetMode="External"/><Relationship Id="rId1" Type="http://schemas.openxmlformats.org/officeDocument/2006/relationships/hyperlink" Target="https://www.meadowscenter.txst.edu/leadership/texasstreamteam/forms-and-resources/equipment/equipment-directory.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lamotte.com/" TargetMode="External"/><Relationship Id="rId21" Type="http://schemas.openxmlformats.org/officeDocument/2006/relationships/hyperlink" Target="https://lamotte.com/" TargetMode="External"/><Relationship Id="rId42" Type="http://schemas.openxmlformats.org/officeDocument/2006/relationships/hyperlink" Target="https://lamotte.com/" TargetMode="External"/><Relationship Id="rId47" Type="http://schemas.openxmlformats.org/officeDocument/2006/relationships/hyperlink" Target="https://www.heb.com/product-detail/hill-country-fare-distilled-water/1892805" TargetMode="External"/><Relationship Id="rId63" Type="http://schemas.openxmlformats.org/officeDocument/2006/relationships/hyperlink" Target="https://www.fishersci.com/shop/products/turbidity-tube-3/S38986?srsltid=AfmBOoqrK90dUHNQyW5NlgYe5vPRWiqFceqtjy69q0F6q1z9C9SIsf6Cig4" TargetMode="External"/><Relationship Id="rId68"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2"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16"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29" Type="http://schemas.openxmlformats.org/officeDocument/2006/relationships/hyperlink" Target="https://www.amazon.com/Vee-Gee-Scientific-STX-3-Refractometer/dp/B004WDW70M/ref=sr_1_4?dib=eyJ2IjoiMSJ9.OwZvicM8R_CMAwUOzvD-1HjuHJ_MKYIkDI4a9XYR1G5MZNU47vv0aH8o-KqzSMbG-MA1a6l5JR1WvK7C3Phl0wIRpgPrE7N8p6lKYQd1SxvXPU-uHdC6uHtmv_JU7q2nfJnIrKGfxcjcwHIBk2RTjq8K8GAFxjXIQleLCQClaCuRHAtFsxlP7w5hJnyptW0VLb8tkG18LxVEf6PiP6cvhrRMSYk8OfrQXcjkpXVeX64.46j0LEFCidjHMMTiwDvA-W1eHKmJ2VgBf14cWX-DvfI&amp;dib_tag=se&amp;hvadid=694502595268&amp;hvdev=c&amp;hvexpln=67&amp;hvlocphy=9028269&amp;hvnetw=g&amp;hvocijid=291552416550199885--&amp;hvqmt=b&amp;hvrand=291552416550199885&amp;hvtargid=kwd-15176811&amp;hydadcr=24661_13611822&amp;keywords=refractometers&amp;mcid=0e3e6febd0773244b53a17dcf68be06a&amp;qid=1744980039&amp;sr=8-4" TargetMode="External"/><Relationship Id="rId11" Type="http://schemas.openxmlformats.org/officeDocument/2006/relationships/hyperlink" Target="https://lamotte.com/" TargetMode="External"/><Relationship Id="rId24" Type="http://schemas.openxmlformats.org/officeDocument/2006/relationships/hyperlink" Target="https://lamotte.com/" TargetMode="External"/><Relationship Id="rId32"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37" Type="http://schemas.openxmlformats.org/officeDocument/2006/relationships/hyperlink" Target="https://www.heb.com/product-detail/hill-country-fare-distilled-water/1892805" TargetMode="External"/><Relationship Id="rId40" Type="http://schemas.openxmlformats.org/officeDocument/2006/relationships/hyperlink" Target="https://lamotte.com/" TargetMode="External"/><Relationship Id="rId45" Type="http://schemas.openxmlformats.org/officeDocument/2006/relationships/hyperlink" Target="https://hannainst.com/hi7031-1l.html" TargetMode="External"/><Relationship Id="rId53"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58" Type="http://schemas.openxmlformats.org/officeDocument/2006/relationships/hyperlink" Target="https://lamotte.com/" TargetMode="External"/><Relationship Id="rId66" Type="http://schemas.openxmlformats.org/officeDocument/2006/relationships/hyperlink" Target="https://www.amazon.com/LiCB-Long-Lasting-Capacity-Batteries-Adaptive/dp/B085TBDN8Q/ref=sxin_16_pa_sp_search_thematic_sspa?content-id=amzn1.sym.140400a7-1208-46ad-8d2a-eb6e8eac81b5%3Aamzn1.sym.140400a7-1208-46ad-8d2a-eb6e8eac81b5&amp;cv_ct_cx=CR2032&amp;dib=eyJ2IjoiMSJ9.yuBfz_GmfiBxvHhTzCC7rQjMShS_zV9W4VtDHzAV4Dt3vJHoi9TAtjSLxPOZ14BcvW2uAr89WZuo1jpUh0JEZQ.r8sjgL_EARj6Owb_A5FA15gD5iaRidfffN-NBKsodUI&amp;dib_tag=se&amp;keywords=CR2032&amp;pd_rd_i=B085TBDN8Q&amp;pd_rd_r=7da6bfa4-d7a3-4c09-bb00-3885a90097a5&amp;pd_rd_w=QNi2V&amp;pd_rd_wg=5AMZX&amp;pf_rd_p=140400a7-1208-46ad-8d2a-eb6e8eac81b5&amp;pf_rd_r=QZEF7ESPG31XJXVQ1NSQ&amp;qid=1726595575&amp;sbo=RZvfv%2F%2FHxDF%2BO5021pAnSA%3D%3D&amp;sr=1-3-6024b2a3-78e4-4fed-8fed-e1613be3bcce-spons&amp;sp_csd=d2lkZ2V0TmFtZT1zcF9zZWFyY2hfdGhlbWF0aWM&amp;th=1" TargetMode="External"/><Relationship Id="rId74" Type="http://schemas.openxmlformats.org/officeDocument/2006/relationships/printerSettings" Target="../printerSettings/printerSettings2.bin"/><Relationship Id="rId5"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61" Type="http://schemas.openxmlformats.org/officeDocument/2006/relationships/hyperlink" Target="https://dabos.com/product/turbidity-tube-623-2050-tube-transparency-120-cm-RDFKSE45RzE2YWFiZzdEbjNuRzhXQT09?srsltid=AfmBOopRbg87B_3NvPSBil2xES09xBB2hfaInfIHFXFgt8lY6MxVtnZxlXY" TargetMode="External"/><Relationship Id="rId19" Type="http://schemas.openxmlformats.org/officeDocument/2006/relationships/hyperlink" Target="https://lamotte.com/armored-thermometer-1066" TargetMode="External"/><Relationship Id="rId14" Type="http://schemas.openxmlformats.org/officeDocument/2006/relationships/hyperlink" Target="https://lamotte.com/" TargetMode="External"/><Relationship Id="rId22" Type="http://schemas.openxmlformats.org/officeDocument/2006/relationships/hyperlink" Target="https://lamotte.com/" TargetMode="External"/><Relationship Id="rId27" Type="http://schemas.openxmlformats.org/officeDocument/2006/relationships/hyperlink" Target="https://lamotte.com/" TargetMode="External"/><Relationship Id="rId30"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35"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43" Type="http://schemas.openxmlformats.org/officeDocument/2006/relationships/hyperlink" Target="https://lamotte.com/" TargetMode="External"/><Relationship Id="rId48"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56"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64" Type="http://schemas.openxmlformats.org/officeDocument/2006/relationships/hyperlink" Target="https://www.fishersci.com/shop/products/turbidity-tube-3/S38986?srsltid=AfmBOoqrK90dUHNQyW5NlgYe5vPRWiqFceqtjy69q0F6q1z9C9SIsf6Cig4" TargetMode="External"/><Relationship Id="rId69"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8"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51" Type="http://schemas.openxmlformats.org/officeDocument/2006/relationships/hyperlink" Target="https://www.heb.com/product-detail/hill-country-fare-distilled-water/1892805" TargetMode="External"/><Relationship Id="rId72" Type="http://schemas.openxmlformats.org/officeDocument/2006/relationships/hyperlink" Target="https://hannainst.com/hi7031-1l.html" TargetMode="External"/><Relationship Id="rId3"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12" Type="http://schemas.openxmlformats.org/officeDocument/2006/relationships/hyperlink" Target="https://lamotte.com/" TargetMode="External"/><Relationship Id="rId17" Type="http://schemas.openxmlformats.org/officeDocument/2006/relationships/hyperlink" Target="https://www.amazon.com/Energizer-Electronic-Specialty-Battery-2032BP4/dp/B00D8P5T0U/ref=sr_1_9_f3_0o_fs_mod_primary_alm?crid=2SC1DR2W8J9Z6&amp;dib=eyJ2IjoiMSJ9.ATUHExscdzDCA10GnsJ0iDYVNAWyZLr3Ao7Z9Fl3LUc6O1DdxjdL5d8SevJJt5m1EtbZOF_Ebj2LL5xFDoHmxeIYCL0Oh1_UI5IjtrBFWV-zVcEhOtmjSVBiVBVR157KTKCHxC3lehj_Y9TTOiLQcMOarmRTTsXR2UwMKnGbL6w-FkjPj7t5QRhhO7ymvpSrldxXH0O7PYWQ9KKAUC47PNakYIq6FCvDNY9fuVUHvOA3SzggekLFxCB8a1oFqQSBf5-Do-NMAWThbco4CGwMdSaz73W3ccLY8tK-esOvZ8Y.Chy13SB8vxDAx4o0Vtf-92M0kZ-LZSALcH9AA-6rdvE&amp;dib_tag=se&amp;keywords=cr2032+batteries&amp;qid=1744980487&amp;sbo=m6DjfpMzMLDmL8pSMKX8hw%3D%3D&amp;sprefix=cr2032%2Caps%2C216&amp;sr=8-9" TargetMode="External"/><Relationship Id="rId25" Type="http://schemas.openxmlformats.org/officeDocument/2006/relationships/hyperlink" Target="https://lamotte.com/" TargetMode="External"/><Relationship Id="rId33"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38"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46" Type="http://schemas.openxmlformats.org/officeDocument/2006/relationships/hyperlink" Target="https://www.amazon.com/LiCB-Long-Lasting-Capacity-Batteries-Adaptive/dp/B085TBDN8Q/ref=sxin_16_pa_sp_search_thematic_sspa?content-id=amzn1.sym.140400a7-1208-46ad-8d2a-eb6e8eac81b5%3Aamzn1.sym.140400a7-1208-46ad-8d2a-eb6e8eac81b5&amp;cv_ct_cx=CR2032&amp;dib=eyJ2IjoiMSJ9.yuBfz_GmfiBxvHhTzCC7rQjMShS_zV9W4VtDHzAV4Dt3vJHoi9TAtjSLxPOZ14BcvW2uAr89WZuo1jpUh0JEZQ.r8sjgL_EARj6Owb_A5FA15gD5iaRidfffN-NBKsodUI&amp;dib_tag=se&amp;keywords=CR2032&amp;pd_rd_i=B085TBDN8Q&amp;pd_rd_r=7da6bfa4-d7a3-4c09-bb00-3885a90097a5&amp;pd_rd_w=QNi2V&amp;pd_rd_wg=5AMZX&amp;pf_rd_p=140400a7-1208-46ad-8d2a-eb6e8eac81b5&amp;pf_rd_r=QZEF7ESPG31XJXVQ1NSQ&amp;qid=1726595575&amp;sbo=RZvfv%2F%2FHxDF%2BO5021pAnSA%3D%3D&amp;sr=1-3-6024b2a3-78e4-4fed-8fed-e1613be3bcce-spons&amp;sp_csd=d2lkZ2V0TmFtZT1zcF9zZWFyY2hfdGhlbWF0aWM&amp;th=1" TargetMode="External"/><Relationship Id="rId59"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67"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20" Type="http://schemas.openxmlformats.org/officeDocument/2006/relationships/hyperlink" Target="https://lamotte.com/" TargetMode="External"/><Relationship Id="rId41" Type="http://schemas.openxmlformats.org/officeDocument/2006/relationships/hyperlink" Target="https://lamotte.com/" TargetMode="External"/><Relationship Id="rId54"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62" Type="http://schemas.openxmlformats.org/officeDocument/2006/relationships/hyperlink" Target="https://dabos.com/product/turbidity-tube-623-2050-tube-transparency-120-cm-RDFKSE45RzE2YWFiZzdEbjNuRzhXQT09?srsltid=AfmBOopRbg87B_3NvPSBil2xES09xBB2hfaInfIHFXFgt8lY6MxVtnZxlXY" TargetMode="External"/><Relationship Id="rId70" Type="http://schemas.openxmlformats.org/officeDocument/2006/relationships/hyperlink" Target="https://hannainst.com/hi7031-1l.html" TargetMode="External"/><Relationship Id="rId75" Type="http://schemas.openxmlformats.org/officeDocument/2006/relationships/vmlDrawing" Target="../drawings/vmlDrawing1.vml"/><Relationship Id="rId1"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6" Type="http://schemas.openxmlformats.org/officeDocument/2006/relationships/hyperlink" Target="https://www.heb.com/product-detail/hill-country-fare-distilled-water/1892805" TargetMode="External"/><Relationship Id="rId15" Type="http://schemas.openxmlformats.org/officeDocument/2006/relationships/hyperlink" Target="https://lamotte.com/" TargetMode="External"/><Relationship Id="rId23" Type="http://schemas.openxmlformats.org/officeDocument/2006/relationships/hyperlink" Target="https://lamotte.com/" TargetMode="External"/><Relationship Id="rId28" Type="http://schemas.openxmlformats.org/officeDocument/2006/relationships/hyperlink" Target="https://lamotte.com/salt-tds-temp-tracer-1749" TargetMode="External"/><Relationship Id="rId36"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49"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57"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10" Type="http://schemas.openxmlformats.org/officeDocument/2006/relationships/hyperlink" Target="https://lamotte.com/" TargetMode="External"/><Relationship Id="rId31"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44" Type="http://schemas.openxmlformats.org/officeDocument/2006/relationships/hyperlink" Target="https://lamotte.com/" TargetMode="External"/><Relationship Id="rId52"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2Bbottle%2Blab&amp;qid=1744980087&amp;sprefix=squirt%2Bbottle%2Bla%2Caps%2C171&amp;sr=8-11&amp;th=1" TargetMode="External"/><Relationship Id="rId60" Type="http://schemas.openxmlformats.org/officeDocument/2006/relationships/hyperlink" Target="https://dabos.com/product/turbidity-tube-623-2050-tube-transparency-120-cm-RDFKSE45RzE2YWFiZzdEbjNuRzhXQT09?srsltid=AfmBOopRbg87B_3NvPSBil2xES09xBB2hfaInfIHFXFgt8lY6MxVtnZxlXY" TargetMode="External"/><Relationship Id="rId65" Type="http://schemas.openxmlformats.org/officeDocument/2006/relationships/hyperlink" Target="https://www.fishersci.com/shop/products/turbidity-tube-3/S38986?srsltid=AfmBOoqrK90dUHNQyW5NlgYe5vPRWiqFceqtjy69q0F6q1z9C9SIsf6Cig4" TargetMode="External"/><Relationship Id="rId73" Type="http://schemas.openxmlformats.org/officeDocument/2006/relationships/hyperlink" Target="https://www.amazon.com/Vee-Gee-Scientific-STX-3-Refractometer/dp/B004WDW70M/ref=sr_1_4?dib=eyJ2IjoiMSJ9.OwZvicM8R_CMAwUOzvD-1HjuHJ_MKYIkDI4a9XYR1G5MZNU47vv0aH8o-KqzSMbG-MA1a6l5JR1WvK7C3Phl0wIRpgPrE7N8p6lKYQd1SxvXPU-uHdC6uHtmv_JU7q2nfJnIrKGfxcjcwHIBk2RTjq8K8GAFxjXIQleLCQClaCuRHAtFsxlP7w5hJnyptW0VLb8tkG18LxVEf6PiP6cvhrRMSYk8OfrQXcjkpXVeX64.46j0LEFCidjHMMTiwDvA-W1eHKmJ2VgBf14cWX-DvfI&amp;dib_tag=se&amp;hvadid=694502595268&amp;hvdev=c&amp;hvexpln=67&amp;hvlocphy=9028269&amp;hvnetw=g&amp;hvocijid=291552416550199885--&amp;hvqmt=b&amp;hvrand=291552416550199885&amp;hvtargid=kwd-15176811&amp;hydadcr=24661_13611822&amp;keywords=refractometers&amp;mcid=0e3e6febd0773244b53a17dcf68be06a&amp;qid=1744980039&amp;sr=8-4" TargetMode="External"/><Relationship Id="rId4"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9" Type="http://schemas.openxmlformats.org/officeDocument/2006/relationships/hyperlink" Target="https://lamotte.com/" TargetMode="External"/><Relationship Id="rId13" Type="http://schemas.openxmlformats.org/officeDocument/2006/relationships/hyperlink" Target="https://lamotte.com/" TargetMode="External"/><Relationship Id="rId18" Type="http://schemas.openxmlformats.org/officeDocument/2006/relationships/hyperlink" Target="https://lamotte.com/secchi-disk-0171-cl" TargetMode="External"/><Relationship Id="rId39" Type="http://schemas.openxmlformats.org/officeDocument/2006/relationships/hyperlink" Target="https://lamotte.com/" TargetMode="External"/><Relationship Id="rId34"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50"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2Bgoggle&amp;qid=1744980202&amp;sprefix=safety%2Bgoggle%2Caps%2C209&amp;sr=8-2-spons&amp;sp_csd=d2lkZ2V0TmFtZT1zcF9hdGY&amp;th=1" TargetMode="External"/><Relationship Id="rId55" Type="http://schemas.openxmlformats.org/officeDocument/2006/relationships/hyperlink" Target="https://www.amazon.com/Vee-Gee-Scientific-STX-3-Refractometer/dp/B004WDW70M/ref=sr_1_4?dib=eyJ2IjoiMSJ9.OwZvicM8R_CMAwUOzvD-1HjuHJ_MKYIkDI4a9XYR1G5MZNU47vv0aH8o-KqzSMbG-MA1a6l5JR1WvK7C3Phl0wIRpgPrE7N8p6lKYQd1SxvXPU-uHdC6uHtmv_JU7q2nfJnIrKGfxcjcwHIBk2RTjq8K8GAFxjXIQleLCQClaCuRHAtFsxlP7w5hJnyptW0VLb8tkG18LxVEf6PiP6cvhrRMSYk8OfrQXcjkpXVeX64.46j0LEFCidjHMMTiwDvA-W1eHKmJ2VgBf14cWX-DvfI&amp;dib_tag=se&amp;hvadid=694502595268&amp;hvdev=c&amp;hvexpln=67&amp;hvlocphy=9028269&amp;hvnetw=g&amp;hvocijid=291552416550199885--&amp;hvqmt=b&amp;hvrand=291552416550199885&amp;hvtargid=kwd-15176811&amp;hydadcr=24661_13611822&amp;keywords=refractometers&amp;mcid=0e3e6febd0773244b53a17dcf68be06a&amp;qid=1744980039&amp;sr=8-4" TargetMode="External"/><Relationship Id="rId76" Type="http://schemas.openxmlformats.org/officeDocument/2006/relationships/comments" Target="../comments1.xml"/><Relationship Id="rId7"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71" Type="http://schemas.openxmlformats.org/officeDocument/2006/relationships/hyperlink" Target="https://hannainst.com/hi7031-1l.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mazon.com/Extech-DO610-ExStik-Conductivity-Kit/dp/B004WN6BEA/ref=sr_1_3?dchild=1&amp;keywords=Probe+Kit+%28ExStik%C2%AE+II+DO%2FpH%2FConductivity%29&amp;qid=1628015080&amp;sr=8-3" TargetMode="External"/><Relationship Id="rId21"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42" Type="http://schemas.openxmlformats.org/officeDocument/2006/relationships/hyperlink" Target="https://www.amazon.com/Extech-EC505-Replacement-Electrode-Conductivity/dp/B004WN6EDI?th=1" TargetMode="External"/><Relationship Id="rId47" Type="http://schemas.openxmlformats.org/officeDocument/2006/relationships/hyperlink" Target="https://dabos.com/product/turbidity-tube-623-2050-tube-transparency-120-cm-RDFKSE45RzE2YWFiZzdEbjNuRzhXQT09?srsltid=AfmBOopRbg87B_3NvPSBil2xES09xBB2hfaInfIHFXFgt8lY6MxVtnZxlXY" TargetMode="External"/><Relationship Id="rId63" Type="http://schemas.openxmlformats.org/officeDocument/2006/relationships/hyperlink" Target="https://www.amazon.com/Extech-DO610-ExStik-Conductivity-Kit/dp/B004WN6BEA/ref=sr_1_3?dchild=1&amp;keywords=Probe+Kit+%28ExStik%C2%AE+II+DO%2FpH%2FConductivity%29&amp;qid=1628015080&amp;sr=8-3" TargetMode="External"/><Relationship Id="rId68" Type="http://schemas.openxmlformats.org/officeDocument/2006/relationships/hyperlink" Target="https://www.globaltestsupply.com/product/lamotte-3773-l-color-coded-ph-buffer-solution-10-00-500ml-blue" TargetMode="External"/><Relationship Id="rId16"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2Bbottle%2Blab&amp;qid=1744980087&amp;sprefix=squirt%2Bbottle%2Bla%2Caps%2C171&amp;sr=8-11&amp;th=1" TargetMode="External"/><Relationship Id="rId11"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24"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32"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37" Type="http://schemas.openxmlformats.org/officeDocument/2006/relationships/hyperlink" Target="https://www.globaltestsupply.com/product/lamotte-3771-l-color-coded-ph-buffer-solution-4-01-500ml-red" TargetMode="External"/><Relationship Id="rId40" Type="http://schemas.openxmlformats.org/officeDocument/2006/relationships/hyperlink" Target="https://www.tequipment.net/ExtechEC500.asp" TargetMode="External"/><Relationship Id="rId45" Type="http://schemas.openxmlformats.org/officeDocument/2006/relationships/hyperlink" Target="https://www.amazon.com/Extech-EX006-Weighted-Base-Solution/dp/B00DDOU8TI" TargetMode="External"/><Relationship Id="rId53"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58" Type="http://schemas.openxmlformats.org/officeDocument/2006/relationships/hyperlink" Target="https://hannainst.com/hi7031-1l.html" TargetMode="External"/><Relationship Id="rId66" Type="http://schemas.openxmlformats.org/officeDocument/2006/relationships/hyperlink" Target="https://www.globaltestsupply.com/product/lamotte-3771-l-color-coded-ph-buffer-solution-4-01-500ml-red" TargetMode="External"/><Relationship Id="rId74" Type="http://schemas.openxmlformats.org/officeDocument/2006/relationships/hyperlink" Target="https://lamotte.com/secchi-disk-0171-cl" TargetMode="External"/><Relationship Id="rId5" Type="http://schemas.openxmlformats.org/officeDocument/2006/relationships/hyperlink" Target="https://hannainst.com/hi7031-1l.html" TargetMode="External"/><Relationship Id="rId61" Type="http://schemas.openxmlformats.org/officeDocument/2006/relationships/hyperlink" Target="https://www.globaltestsupply.com/product/lamotte-3773-l-color-coded-ph-buffer-solution-10-00-500ml-blue" TargetMode="External"/><Relationship Id="rId19"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14"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22"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27" Type="http://schemas.openxmlformats.org/officeDocument/2006/relationships/hyperlink" Target="https://lamotte.com/armored-thermometer-1066" TargetMode="External"/><Relationship Id="rId30"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35"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43" Type="http://schemas.openxmlformats.org/officeDocument/2006/relationships/hyperlink" Target="https://www.amazon.com/Extech-DO605-ExStik-Replacement-Dissolved/dp/B004WN6B54?th=1" TargetMode="External"/><Relationship Id="rId48" Type="http://schemas.openxmlformats.org/officeDocument/2006/relationships/hyperlink" Target="https://dabos.com/product/turbidity-tube-623-2050-tube-transparency-120-cm-RDFKSE45RzE2YWFiZzdEbjNuRzhXQT09?srsltid=AfmBOopRbg87B_3NvPSBil2xES09xBB2hfaInfIHFXFgt8lY6MxVtnZxlXY" TargetMode="External"/><Relationship Id="rId56" Type="http://schemas.openxmlformats.org/officeDocument/2006/relationships/hyperlink" Target="https://hannainst.com/hi7031-1l.html" TargetMode="External"/><Relationship Id="rId64" Type="http://schemas.openxmlformats.org/officeDocument/2006/relationships/hyperlink" Target="https://lamotte.com/armored-thermometer-1066" TargetMode="External"/><Relationship Id="rId69" Type="http://schemas.openxmlformats.org/officeDocument/2006/relationships/hyperlink" Target="https://www.globaltestsupply.com/product/lamotte-3771-l-color-coded-ph-buffer-solution-4-01-500ml-red" TargetMode="External"/><Relationship Id="rId77" Type="http://schemas.openxmlformats.org/officeDocument/2006/relationships/comments" Target="../comments2.xml"/><Relationship Id="rId8"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51" Type="http://schemas.openxmlformats.org/officeDocument/2006/relationships/hyperlink" Target="https://www.fishersci.com/shop/products/turbidity-tube-3/S38986?srsltid=AfmBOoqrK90dUHNQyW5NlgYe5vPRWiqFceqtjy69q0F6q1z9C9SIsf6Cig4" TargetMode="External"/><Relationship Id="rId72" Type="http://schemas.openxmlformats.org/officeDocument/2006/relationships/hyperlink" Target="https://www.testequipmentdepot.com/extech-do603-membrane-kit-for-exstik-do600-dissolved-oxygen-meter.html" TargetMode="External"/><Relationship Id="rId3" Type="http://schemas.openxmlformats.org/officeDocument/2006/relationships/hyperlink" Target="https://www.heb.com/product-detail/hill-country-fare-distilled-water/1892805" TargetMode="External"/><Relationship Id="rId12"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17" Type="http://schemas.openxmlformats.org/officeDocument/2006/relationships/hyperlink" Target="https://www.heb.com/product-detail/hill-country-fare-distilled-water/1892805" TargetMode="External"/><Relationship Id="rId25"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33" Type="http://schemas.openxmlformats.org/officeDocument/2006/relationships/hyperlink" Target="https://www.heb.com/product-detail/hill-country-fare-distilled-water/1892805" TargetMode="External"/><Relationship Id="rId38" Type="http://schemas.openxmlformats.org/officeDocument/2006/relationships/hyperlink" Target="https://www.globaltestsupply.com/product/lamotte-3772-l-color-coded-ph-buffer-solution-7-00-500ml-yellow" TargetMode="External"/><Relationship Id="rId46" Type="http://schemas.openxmlformats.org/officeDocument/2006/relationships/hyperlink" Target="https://dabos.com/product/turbidity-tube-623-2050-tube-transparency-120-cm-RDFKSE45RzE2YWFiZzdEbjNuRzhXQT09?srsltid=AfmBOopRbg87B_3NvPSBil2xES09xBB2hfaInfIHFXFgt8lY6MxVtnZxlXY" TargetMode="External"/><Relationship Id="rId59" Type="http://schemas.openxmlformats.org/officeDocument/2006/relationships/hyperlink" Target="https://www.globaltestsupply.com/product/lamotte-3771-l-color-coded-ph-buffer-solution-4-01-500ml-red" TargetMode="External"/><Relationship Id="rId67" Type="http://schemas.openxmlformats.org/officeDocument/2006/relationships/hyperlink" Target="https://www.globaltestsupply.com/product/lamotte-3772-l-color-coded-ph-buffer-solution-7-00-500ml-yellow" TargetMode="External"/><Relationship Id="rId20"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41" Type="http://schemas.openxmlformats.org/officeDocument/2006/relationships/hyperlink" Target="https://www.testequipmentdepot.com/extech-do600-waterproof-exstik-ii-dissolved-oxygen-meter-do-sensor.html" TargetMode="External"/><Relationship Id="rId54"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62" Type="http://schemas.openxmlformats.org/officeDocument/2006/relationships/hyperlink" Target="https://www.testequipmentdepot.com/extech-do603-membrane-kit-for-exstik-do600-dissolved-oxygen-meter.html" TargetMode="External"/><Relationship Id="rId70" Type="http://schemas.openxmlformats.org/officeDocument/2006/relationships/hyperlink" Target="https://www.globaltestsupply.com/product/lamotte-3773-l-color-coded-ph-buffer-solution-10-00-500ml-blue" TargetMode="External"/><Relationship Id="rId75" Type="http://schemas.openxmlformats.org/officeDocument/2006/relationships/hyperlink" Target="https://lamotte.com/secchi-disk-0171-cl" TargetMode="External"/><Relationship Id="rId1" Type="http://schemas.openxmlformats.org/officeDocument/2006/relationships/hyperlink" Target="https://lamotte.com/" TargetMode="External"/><Relationship Id="rId6" Type="http://schemas.openxmlformats.org/officeDocument/2006/relationships/hyperlink" Target="https://www.amazon.com/LiCB-Long-Lasting-Capacity-Batteries-Adaptive/dp/B085TBDN8Q/ref=sxin_16_pa_sp_search_thematic_sspa?content-id=amzn1.sym.140400a7-1208-46ad-8d2a-eb6e8eac81b5%3Aamzn1.sym.140400a7-1208-46ad-8d2a-eb6e8eac81b5&amp;cv_ct_cx=CR2032&amp;dib=eyJ2IjoiMSJ9.yuBfz_GmfiBxvHhTzCC7rQjMShS_zV9W4VtDHzAV4Dt3vJHoi9TAtjSLxPOZ14BcvW2uAr89WZuo1jpUh0JEZQ.r8sjgL_EARj6Owb_A5FA15gD5iaRidfffN-NBKsodUI&amp;dib_tag=se&amp;keywords=CR2032&amp;pd_rd_i=B085TBDN8Q&amp;pd_rd_r=7da6bfa4-d7a3-4c09-bb00-3885a90097a5&amp;pd_rd_w=QNi2V&amp;pd_rd_wg=5AMZX&amp;pf_rd_p=140400a7-1208-46ad-8d2a-eb6e8eac81b5&amp;pf_rd_r=QZEF7ESPG31XJXVQ1NSQ&amp;qid=1726595575&amp;sbo=RZvfv%2F%2FHxDF%2BO5021pAnSA%3D%3D&amp;sr=1-3-6024b2a3-78e4-4fed-8fed-e1613be3bcce-spons&amp;sp_csd=d2lkZ2V0TmFtZT1zcF9zZWFyY2hfdGhlbWF0aWM&amp;th=1" TargetMode="External"/><Relationship Id="rId15"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23"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28"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36"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49" Type="http://schemas.openxmlformats.org/officeDocument/2006/relationships/hyperlink" Target="https://www.fishersci.com/shop/products/turbidity-tube-3/S38986?srsltid=AfmBOoqrK90dUHNQyW5NlgYe5vPRWiqFceqtjy69q0F6q1z9C9SIsf6Cig4" TargetMode="External"/><Relationship Id="rId57" Type="http://schemas.openxmlformats.org/officeDocument/2006/relationships/hyperlink" Target="https://hannainst.com/hi7031-1l.html" TargetMode="External"/><Relationship Id="rId10" Type="http://schemas.openxmlformats.org/officeDocument/2006/relationships/hyperlink" Target="https://hannainst.com/hi7031l.html?gad_source=1&amp;gbraid=0AAAAADjk2PqEDZqxz8qINHZ7laHAfbHNG&amp;gclid=Cj0KCQjwzYLABhD4ARIsALySuCTBJ1zWN2roqli7698jKyraaoZ8HlyZyC62jTVb0ObciOdXVsLhqrAaAjCCEALw_wcB" TargetMode="External"/><Relationship Id="rId31"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44" Type="http://schemas.openxmlformats.org/officeDocument/2006/relationships/hyperlink" Target="https://www.amazon.com/Extech-EX007-Spare-Sample-Solution/dp/B071WX6KQH/ref=sr_1_1?crid=1KTW2HV756A63&amp;dib=eyJ2IjoiMSJ9.ZStslDoENmcI03yuX0TARw.ew82nIu11LTBQgL7d8Xl7NgLj-zuKkgWktA9nEpo8qQ&amp;dib_tag=se&amp;keywords=extech+sample+solution+cups&amp;qid=1758835872&amp;sprefix=extech+sample+solution+cups%2Caps%2C486&amp;sr=8-1" TargetMode="External"/><Relationship Id="rId52" Type="http://schemas.openxmlformats.org/officeDocument/2006/relationships/hyperlink" Target="https://www.amazon.com/LiCB-Long-Lasting-Capacity-Batteries-Adaptive/dp/B085TBDN8Q/ref=sxin_16_pa_sp_search_thematic_sspa?content-id=amzn1.sym.140400a7-1208-46ad-8d2a-eb6e8eac81b5%3Aamzn1.sym.140400a7-1208-46ad-8d2a-eb6e8eac81b5&amp;cv_ct_cx=CR2032&amp;dib=eyJ2IjoiMSJ9.yuBfz_GmfiBxvHhTzCC7rQjMShS_zV9W4VtDHzAV4Dt3vJHoi9TAtjSLxPOZ14BcvW2uAr89WZuo1jpUh0JEZQ.r8sjgL_EARj6Owb_A5FA15gD5iaRidfffN-NBKsodUI&amp;dib_tag=se&amp;keywords=CR2032&amp;pd_rd_i=B085TBDN8Q&amp;pd_rd_r=7da6bfa4-d7a3-4c09-bb00-3885a90097a5&amp;pd_rd_w=QNi2V&amp;pd_rd_wg=5AMZX&amp;pf_rd_p=140400a7-1208-46ad-8d2a-eb6e8eac81b5&amp;pf_rd_r=QZEF7ESPG31XJXVQ1NSQ&amp;qid=1726595575&amp;sbo=RZvfv%2F%2FHxDF%2BO5021pAnSA%3D%3D&amp;sr=1-3-6024b2a3-78e4-4fed-8fed-e1613be3bcce-spons&amp;sp_csd=d2lkZ2V0TmFtZT1zcF9zZWFyY2hfdGhlbWF0aWM&amp;th=1" TargetMode="External"/><Relationship Id="rId60" Type="http://schemas.openxmlformats.org/officeDocument/2006/relationships/hyperlink" Target="https://www.globaltestsupply.com/product/lamotte-3772-l-color-coded-ph-buffer-solution-7-00-500ml-yellow" TargetMode="External"/><Relationship Id="rId65" Type="http://schemas.openxmlformats.org/officeDocument/2006/relationships/hyperlink" Target="https://lamotte.com/secchi-disk-0171-cl" TargetMode="External"/><Relationship Id="rId73" Type="http://schemas.openxmlformats.org/officeDocument/2006/relationships/hyperlink" Target="https://lamotte.com/armored-thermometer-1066" TargetMode="External"/><Relationship Id="rId4"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9" Type="http://schemas.openxmlformats.org/officeDocument/2006/relationships/hyperlink" Target="https://lamotte.com/" TargetMode="External"/><Relationship Id="rId13"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18"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2Bgoggle&amp;qid=1744980202&amp;sprefix=safety%2Bgoggle%2Caps%2C209&amp;sr=8-2-spons&amp;sp_csd=d2lkZ2V0TmFtZT1zcF9hdGY&amp;th=1" TargetMode="External"/><Relationship Id="rId39" Type="http://schemas.openxmlformats.org/officeDocument/2006/relationships/hyperlink" Target="https://www.globaltestsupply.com/product/lamotte-3773-l-color-coded-ph-buffer-solution-10-00-500ml-blue" TargetMode="External"/><Relationship Id="rId34"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50" Type="http://schemas.openxmlformats.org/officeDocument/2006/relationships/hyperlink" Target="https://www.fishersci.com/shop/products/turbidity-tube-3/S38986?srsltid=AfmBOoqrK90dUHNQyW5NlgYe5vPRWiqFceqtjy69q0F6q1z9C9SIsf6Cig4" TargetMode="External"/><Relationship Id="rId55"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76" Type="http://schemas.openxmlformats.org/officeDocument/2006/relationships/vmlDrawing" Target="../drawings/vmlDrawing2.vml"/><Relationship Id="rId7" Type="http://schemas.openxmlformats.org/officeDocument/2006/relationships/hyperlink" Target="https://www.heb.com/product-detail/hill-country-fare-distilled-water/1892805" TargetMode="External"/><Relationship Id="rId71" Type="http://schemas.openxmlformats.org/officeDocument/2006/relationships/hyperlink" Target="https://www.globaltestsupply.com/product/lamotte-3772-l-color-coded-ph-buffer-solution-7-00-500ml-yellow" TargetMode="External"/><Relationship Id="rId2" Type="http://schemas.openxmlformats.org/officeDocument/2006/relationships/hyperlink" Target="https://www.amazon.com/Energizer-Electronic-Specialty-Battery-2032BP4/dp/B00D8P5T0U/ref=sr_1_9_f3_0o_fs_mod_primary_alm?crid=2SC1DR2W8J9Z6&amp;dib=eyJ2IjoiMSJ9.ATUHExscdzDCA10GnsJ0iDYVNAWyZLr3Ao7Z9Fl3LUc6O1DdxjdL5d8SevJJt5m1EtbZOF_Ebj2LL5xFDoHmxeIYCL0Oh1_UI5IjtrBFWV-zVcEhOtmjSVBiVBVR157KTKCHxC3lehj_Y9TTOiLQcMOarmRTTsXR2UwMKnGbL6w-FkjPj7t5QRhhO7ymvpSrldxXH0O7PYWQ9KKAUC47PNakYIq6FCvDNY9fuVUHvOA3SzggekLFxCB8a1oFqQSBf5-Do-NMAWThbco4CGwMdSaz73W3ccLY8tK-esOvZ8Y.Chy13SB8vxDAx4o0Vtf-92M0kZ-LZSALcH9AA-6rdvE&amp;dib_tag=se&amp;keywords=cr2032+batteries&amp;qid=1744980487&amp;sbo=m6DjfpMzMLDmL8pSMKX8hw%3D%3D&amp;sprefix=cr2032%2Caps%2C216&amp;sr=8-9" TargetMode="External"/><Relationship Id="rId29"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hach.com/p-water-deionized-100-ml/27242" TargetMode="External"/><Relationship Id="rId21" Type="http://schemas.openxmlformats.org/officeDocument/2006/relationships/hyperlink" Target="https://www.amazon.com/Nasco-B01310WA-Swing-Sampler-Length/dp/B00BUTWK7Q?source=ps-sl-shoppingads-lpcontext&amp;ref_=fplfs&amp;psc=1&amp;smid=A351OZYBPHCS52&amp;gQT=1" TargetMode="External"/><Relationship Id="rId34" Type="http://schemas.openxmlformats.org/officeDocument/2006/relationships/hyperlink" Target="https://www.amazon.com/Nasco-B01310WA-Swing-Sampler-Length/dp/B00BUTWK7Q?source=ps-sl-shoppingads-lpcontext&amp;ref_=fplfs&amp;psc=1&amp;smid=A351OZYBPHCS52&amp;gQT=1" TargetMode="External"/><Relationship Id="rId42"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2Bfree%2Bgloves&amp;qid=1744980234&amp;sprefix=powder%2Bfree%2Bg%2Caps%2C176&amp;sr=8-3&amp;th=1" TargetMode="External"/><Relationship Id="rId47" Type="http://schemas.openxmlformats.org/officeDocument/2006/relationships/hyperlink" Target="https://www.micrologylabs.com/product/easygel-regular-dish/" TargetMode="External"/><Relationship Id="rId50" Type="http://schemas.openxmlformats.org/officeDocument/2006/relationships/hyperlink" Target="https://www.weberscientific.com/micrology-laboratories-coliscan-easygel-media?srsltid=AfmBOorjtUvtwoiY-ChwPo5M4iiFbYpX45sj12ndicAuekz6mc1zH0lL" TargetMode="External"/><Relationship Id="rId55" Type="http://schemas.openxmlformats.org/officeDocument/2006/relationships/hyperlink" Target="https://www.amazon.com/Maccx-Low-Density-Polyethylene-Individual-TPP5155-100/dp/B095WK41P4/ref=sr_1_1_sspa?crid=JA903JLZ0LG9&amp;dib=eyJ2IjoiMSJ9.warzqY3xa9TCNBZj-a9jRhq4tRAoUOHgiSiDqCL9pNL5Z-qnBr_X5V35itS5hrEB_Q0f-iMMOzfsGQmT72RuuueJq1InF7N-BSavZLG5-cqvah_cYF9QeJx4SlDBQo9Ox0HPk1GukZQ9WZYPa-xfZvOiuFfL0uBbAE6MldXyuT-zxhjNd_osiDMMaKR087rVZ6pgTGG6UxWvsnF7YI-nJbL41q4UlPcO2zyOerjCWpU.Hjaz-bquNJhn-30pgxkzTtgkeuGjPjj_cLPXTzQlhhk&amp;dib_tag=se&amp;keywords=sterile%2Bpipettes&amp;qid=1752010402&amp;sprefix=sterile%2Bpipette%2Caps%2C222&amp;sr=8-1-spons&amp;sp_csd=d2lkZ2V0TmFtZT1zcF9hdGY&amp;th=1" TargetMode="External"/><Relationship Id="rId63" Type="http://schemas.openxmlformats.org/officeDocument/2006/relationships/hyperlink" Target="https://www.forestry-suppliers.com/p/53932/32280/sludge-nabber-sampler" TargetMode="External"/><Relationship Id="rId7" Type="http://schemas.openxmlformats.org/officeDocument/2006/relationships/hyperlink" Target="https://westernranchsupply.com/product/still-air-incubator/?srsltid=AfmBOopuuWNA1Ye1uq4UGOyWpssQIL3c18mKKueYNMRur2m1XN7X41lmx_c&amp;gQT=1" TargetMode="External"/><Relationship Id="rId2"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16" Type="http://schemas.openxmlformats.org/officeDocument/2006/relationships/hyperlink" Target="https://www.amazon.com/Nasco-Whirl-Pak-B01364WA-Stand-Up-Capacity/dp/B001U5I0DS/ref=sr_1_5?crid=1XGS6FKTX02GZ&amp;dib=eyJ2IjoiMSJ9.bEAVnXF7l81-UYA7U76MOFFcDs5-XaWD6MQ9dwc_CP1TU1NuiEBqsQ9iMS_w6yIVktOxjQeht-6D0B2QQ3rSeLWBD7XPB6L-LgzY0x7w7GxIOVziWbbvCoZ1OlLqLzWF7T0m_4YP_YQrSko9u1LlGunXglX1wAv_QZMhBVmxj9coi7wmDls-Ati6vwiwXdn1fK1duqLIqpdrqID1FIolBXZgWTq0U6VB3b-QkSKOSKDFiSJGvmDvCUH_D0jy6AijQQe1IaYdYDqKevSK82qDgvotX7NBKjUl1WFWM6GXrak.hc8-F1c49iDYnnEJB10S0ocvXrXdigRyuxRkfIfIHBU&amp;dib_tag=se&amp;keywords=stand+up+whirlpak&amp;qid=1752009846&amp;sprefix=stand+up+whirlpak%2Caps%2C149&amp;sr=8-5" TargetMode="External"/><Relationship Id="rId29" Type="http://schemas.openxmlformats.org/officeDocument/2006/relationships/hyperlink" Target="https://www.micrologylabs.com/product/coliscan-easygel/" TargetMode="External"/><Relationship Id="rId11" Type="http://schemas.openxmlformats.org/officeDocument/2006/relationships/hyperlink" Target="https://www.heb.com/product-detail/h-e-b-texas-tough-double-zipper-gallon-storage-bags-value-pack-80-ct/3199560" TargetMode="External"/><Relationship Id="rId24" Type="http://schemas.openxmlformats.org/officeDocument/2006/relationships/hyperlink" Target="https://www.amazon.com/Nasco-Whirl-Pak-B01364WA-Stand-Up-Capacity/dp/B001U5I0DS/ref=sr_1_5?crid=1XGS6FKTX02GZ&amp;dib=eyJ2IjoiMSJ9.bEAVnXF7l81-UYA7U76MOFFcDs5-XaWD6MQ9dwc_CP1TU1NuiEBqsQ9iMS_w6yIVktOxjQeht-6D0B2QQ3rSeLWBD7XPB6L-LgzY0x7w7GxIOVziWbbvCoZ1OlLqLzWF7T0m_4YP_YQrSko9u1LlGunXglX1wAv_QZMhBVmxj9coi7wmDls-Ati6vwiwXdn1fK1duqLIqpdrqID1FIolBXZgWTq0U6VB3b-QkSKOSKDFiSJGvmDvCUH_D0jy6AijQQe1IaYdYDqKevSK82qDgvotX7NBKjUl1WFWM6GXrak.hc8-F1c49iDYnnEJB10S0ocvXrXdigRyuxRkfIfIHBU&amp;dib_tag=se&amp;keywords=stand+up+whirlpak&amp;qid=1752009846&amp;sprefix=stand+up+whirlpak%2Caps%2C149&amp;sr=8-5" TargetMode="External"/><Relationship Id="rId32" Type="http://schemas.openxmlformats.org/officeDocument/2006/relationships/hyperlink" Target="https://www.carolina.com/environmental-science-field-collection/lamotte-macrolens/184558.pr" TargetMode="External"/><Relationship Id="rId37" Type="http://schemas.openxmlformats.org/officeDocument/2006/relationships/hyperlink" Target="https://www.weberscientific.com/micrology-laboratories-coliscan-easygel-media?srsltid=AfmBOorjtUvtwoiY-ChwPo5M4iiFbYpX45sj12ndicAuekz6mc1zH0lL" TargetMode="External"/><Relationship Id="rId40" Type="http://schemas.openxmlformats.org/officeDocument/2006/relationships/hyperlink" Target="https://www.heb.com/product-detail/hill-country-fare-bleach-regular-64-oz/3502021" TargetMode="External"/><Relationship Id="rId45" Type="http://schemas.openxmlformats.org/officeDocument/2006/relationships/hyperlink" Target="https://www.micrologylabs.com/product/easygel-regular-dish/" TargetMode="External"/><Relationship Id="rId53" Type="http://schemas.openxmlformats.org/officeDocument/2006/relationships/hyperlink" Target="https://www.amazon.com/Nasco-Whirl-Pak-B01364WA-Stand-Up-Capacity/dp/B001U5I0DS/ref=sr_1_5?crid=1XGS6FKTX02GZ&amp;dib=eyJ2IjoiMSJ9.bEAVnXF7l81-UYA7U76MOFFcDs5-XaWD6MQ9dwc_CP1TU1NuiEBqsQ9iMS_w6yIVktOxjQeht-6D0B2QQ3rSeLWBD7XPB6L-LgzY0x7w7GxIOVziWbbvCoZ1OlLqLzWF7T0m_4YP_YQrSko9u1LlGunXglX1wAv_QZMhBVmxj9coi7wmDls-Ati6vwiwXdn1fK1duqLIqpdrqID1FIolBXZgWTq0U6VB3b-QkSKOSKDFiSJGvmDvCUH_D0jy6AijQQe1IaYdYDqKevSK82qDgvotX7NBKjUl1WFWM6GXrak.hc8-F1c49iDYnnEJB10S0ocvXrXdigRyuxRkfIfIHBU&amp;dib_tag=se&amp;keywords=stand+up+whirlpak&amp;qid=1752009846&amp;sprefix=stand+up+whirlpak%2Caps%2C149&amp;sr=8-5" TargetMode="External"/><Relationship Id="rId58" Type="http://schemas.openxmlformats.org/officeDocument/2006/relationships/hyperlink" Target="https://www.amazon.com/Magnifying-Handheld-Magnifier-Newspaper-Exploration/dp/B0D65NM8H1/ref=sr_1_10?crid=2MMJT14N7O5NM&amp;dib=eyJ2IjoiMSJ9.lsXxPkCUEioX0HdXqhfRPln8c3i1PxZg5hoe3GvMJ2W0X5b8YvhiYrAebEpmoGK4FTOKxEIunQ8UmMsiTlZzYatBedQmsN63TfKLjeJ_xrHvwibIWVXtceNhNpwOVfKSxyhJbCU16MT5oAUUHdNC3YLnDJGgA4PfUlg7r6onAp7Yf_YyCoTQAvQaSY2whcPyBA2kapbSzjZ3MbVZdZuUYkfrqPmRx8FSySVvSZM6SAV8dm4TggdpMWD6wGhmui936t7L8vwV7uahosEKSQUo-3ugZx_LttIVMuRJbpjjYHc.tM7Vk9kYRO_HGEoXidWaQ1DWTtSG3oY1ZYT2-BAY6pA&amp;dib_tag=se&amp;keywords=magnifying%2Bglass&amp;qid=1759507312&amp;sprefix=magnifying%2Bglass%2Caps%2C257&amp;sr=8-10&amp;th=1" TargetMode="External"/><Relationship Id="rId66" Type="http://schemas.openxmlformats.org/officeDocument/2006/relationships/vmlDrawing" Target="../drawings/vmlDrawing3.vml"/><Relationship Id="rId5" Type="http://schemas.openxmlformats.org/officeDocument/2006/relationships/hyperlink" Target="https://www.amazon.com/Maccx-Low-Density-Polyethylene-Individual-TPP5155-100/dp/B095WK41P4/ref=sr_1_1_sspa?crid=JA903JLZ0LG9&amp;dib=eyJ2IjoiMSJ9.warzqY3xa9TCNBZj-a9jRhq4tRAoUOHgiSiDqCL9pNL5Z-qnBr_X5V35itS5hrEB_Q0f-iMMOzfsGQmT72RuuueJq1InF7N-BSavZLG5-cqvah_cYF9QeJx4SlDBQo9Ox0HPk1GukZQ9WZYPa-xfZvOiuFfL0uBbAE6MldXyuT-zxhjNd_osiDMMaKR087rVZ6pgTGG6UxWvsnF7YI-nJbL41q4UlPcO2zyOerjCWpU.Hjaz-bquNJhn-30pgxkzTtgkeuGjPjj_cLPXTzQlhhk&amp;dib_tag=se&amp;keywords=sterile%2Bpipettes&amp;qid=1752010402&amp;sprefix=sterile%2Bpipette%2Caps%2C222&amp;sr=8-1-spons&amp;sp_csd=d2lkZ2V0TmFtZT1zcF9hdGY&amp;th=1" TargetMode="External"/><Relationship Id="rId61"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19" Type="http://schemas.openxmlformats.org/officeDocument/2006/relationships/hyperlink" Target="https://www.carolina.com/environmental-science-field-collection/lamotte-macrolens/184558.pr" TargetMode="External"/><Relationship Id="rId14" Type="http://schemas.openxmlformats.org/officeDocument/2006/relationships/hyperlink" Target="https://www.micrologylabs.com/product/coliscan-easygel/" TargetMode="External"/><Relationship Id="rId22" Type="http://schemas.openxmlformats.org/officeDocument/2006/relationships/hyperlink" Target="https://www.heb.com/product-detail/h-e-b-texas-tough-double-zipper-quart-freezer-bags-value-pack-80-ct/1997427" TargetMode="External"/><Relationship Id="rId27"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30"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35" Type="http://schemas.openxmlformats.org/officeDocument/2006/relationships/hyperlink" Target="https://westernranchsupply.com/product/still-air-incubator/?srsltid=AfmBOopuuWNA1Ye1uq4UGOyWpssQIL3c18mKKueYNMRur2m1XN7X41lmx_c&amp;gQT=1" TargetMode="External"/><Relationship Id="rId43" Type="http://schemas.openxmlformats.org/officeDocument/2006/relationships/hyperlink" Target="https://www.heb.com/product-detail/h-e-b-texas-tough-double-zipper-gallon-storage-bags-value-pack-80-ct/3199560" TargetMode="External"/><Relationship Id="rId48" Type="http://schemas.openxmlformats.org/officeDocument/2006/relationships/hyperlink" Target="https://www.micrologylabs.com/product/easygel-regular-dish/" TargetMode="External"/><Relationship Id="rId56" Type="http://schemas.openxmlformats.org/officeDocument/2006/relationships/hyperlink" Target="https://www.hach.com/p-water-deionized-100-ml/27242" TargetMode="External"/><Relationship Id="rId64" Type="http://schemas.openxmlformats.org/officeDocument/2006/relationships/hyperlink" Target="https://www.forestry-suppliers.com/p/53932/32280/sludge-nabber-sampler" TargetMode="External"/><Relationship Id="rId8" Type="http://schemas.openxmlformats.org/officeDocument/2006/relationships/hyperlink" Target="https://www.carolina.com/environmental-science-field-collection/lamotte-macrolens/184558.pr" TargetMode="External"/><Relationship Id="rId51" Type="http://schemas.openxmlformats.org/officeDocument/2006/relationships/hyperlink" Target="https://www.amazon.com/Magnifying-Handheld-Magnifier-Newspaper-Exploration/dp/B0D65NM8H1/ref=sr_1_10?crid=2MMJT14N7O5NM&amp;dib=eyJ2IjoiMSJ9.lsXxPkCUEioX0HdXqhfRPln8c3i1PxZg5hoe3GvMJ2W0X5b8YvhiYrAebEpmoGK4FTOKxEIunQ8UmMsiTlZzYatBedQmsN63TfKLjeJ_xrHvwibIWVXtceNhNpwOVfKSxyhJbCU16MT5oAUUHdNC3YLnDJGgA4PfUlg7r6onAp7Yf_YyCoTQAvQaSY2whcPyBA2kapbSzjZ3MbVZdZuUYkfrqPmRx8FSySVvSZM6SAV8dm4TggdpMWD6wGhmui936t7L8vwV7uahosEKSQUo-3ugZx_LttIVMuRJbpjjYHc.tM7Vk9kYRO_HGEoXidWaQ1DWTtSG3oY1ZYT2-BAY6pA&amp;dib_tag=se&amp;keywords=magnifying%2Bglass&amp;qid=1759507312&amp;sprefix=magnifying%2Bglass%2Caps%2C257&amp;sr=8-10&amp;th=1" TargetMode="External"/><Relationship Id="rId3" Type="http://schemas.openxmlformats.org/officeDocument/2006/relationships/hyperlink" Target="https://www.amazon.com/Nasco-Whirl-Pak-B01364WA-Stand-Up-Capacity/dp/B001U5I0DS/ref=sr_1_5?crid=1XGS6FKTX02GZ&amp;dib=eyJ2IjoiMSJ9.bEAVnXF7l81-UYA7U76MOFFcDs5-XaWD6MQ9dwc_CP1TU1NuiEBqsQ9iMS_w6yIVktOxjQeht-6D0B2QQ3rSeLWBD7XPB6L-LgzY0x7w7GxIOVziWbbvCoZ1OlLqLzWF7T0m_4YP_YQrSko9u1LlGunXglX1wAv_QZMhBVmxj9coi7wmDls-Ati6vwiwXdn1fK1duqLIqpdrqID1FIolBXZgWTq0U6VB3b-QkSKOSKDFiSJGvmDvCUH_D0jy6AijQQe1IaYdYDqKevSK82qDgvotX7NBKjUl1WFWM6GXrak.hc8-F1c49iDYnnEJB10S0ocvXrXdigRyuxRkfIfIHBU&amp;dib_tag=se&amp;keywords=stand+up+whirlpak&amp;qid=1752009846&amp;sprefix=stand+up+whirlpak%2Caps%2C149&amp;sr=8-5" TargetMode="External"/><Relationship Id="rId12"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17" Type="http://schemas.openxmlformats.org/officeDocument/2006/relationships/hyperlink" Target="https://www.amazon.com/Maccx-Low-Density-Polyethylene-Individual-TPP5155-100/dp/B095WK41P4/ref=sr_1_1_sspa?crid=JA903JLZ0LG9&amp;dib=eyJ2IjoiMSJ9.warzqY3xa9TCNBZj-a9jRhq4tRAoUOHgiSiDqCL9pNL5Z-qnBr_X5V35itS5hrEB_Q0f-iMMOzfsGQmT72RuuueJq1InF7N-BSavZLG5-cqvah_cYF9QeJx4SlDBQo9Ox0HPk1GukZQ9WZYPa-xfZvOiuFfL0uBbAE6MldXyuT-zxhjNd_osiDMMaKR087rVZ6pgTGG6UxWvsnF7YI-nJbL41q4UlPcO2zyOerjCWpU.Hjaz-bquNJhn-30pgxkzTtgkeuGjPjj_cLPXTzQlhhk&amp;dib_tag=se&amp;keywords=sterile%2Bpipettes&amp;qid=1752010402&amp;sprefix=sterile%2Bpipette%2Caps%2C222&amp;sr=8-1-spons&amp;sp_csd=d2lkZ2V0TmFtZT1zcF9hdGY&amp;th=1" TargetMode="External"/><Relationship Id="rId25" Type="http://schemas.openxmlformats.org/officeDocument/2006/relationships/hyperlink" Target="https://www.amazon.com/Maccx-Low-Density-Polyethylene-Individual-TPP5155-100/dp/B095WK41P4/ref=sr_1_1_sspa?crid=JA903JLZ0LG9&amp;dib=eyJ2IjoiMSJ9.warzqY3xa9TCNBZj-a9jRhq4tRAoUOHgiSiDqCL9pNL5Z-qnBr_X5V35itS5hrEB_Q0f-iMMOzfsGQmT72RuuueJq1InF7N-BSavZLG5-cqvah_cYF9QeJx4SlDBQo9Ox0HPk1GukZQ9WZYPa-xfZvOiuFfL0uBbAE6MldXyuT-zxhjNd_osiDMMaKR087rVZ6pgTGG6UxWvsnF7YI-nJbL41q4UlPcO2zyOerjCWpU.Hjaz-bquNJhn-30pgxkzTtgkeuGjPjj_cLPXTzQlhhk&amp;dib_tag=se&amp;keywords=sterile%2Bpipettes&amp;qid=1752010402&amp;sprefix=sterile%2Bpipette%2Caps%2C222&amp;sr=8-1-spons&amp;sp_csd=d2lkZ2V0TmFtZT1zcF9hdGY&amp;th=1" TargetMode="External"/><Relationship Id="rId33" Type="http://schemas.openxmlformats.org/officeDocument/2006/relationships/hyperlink" Target="https://www.amazon.com/Magnifying-Handheld-Reading-Magnifier-Seniors/dp/B07R4H9PVL/ref=sr_1_7?crid=12ONI1N7OROC0&amp;dib=eyJ2IjoiMSJ9.wRyd_dlRWa4712fTQnVNtDOXupvY-mmCqk2FHB-UbOHaO3Gi5csuzWxI_-IGgKKZGSVk1i6emui1MRNXeUQkGoIbBKNDPQtAzsqjGJIs-u2DG440mbo_U7IGGZIxyC6gzk8Lp5OEaltRSquxRcCvaTVd8klGewGKASN4W4zsmUGIDUBvlzk2u7Im7C5uVSb8fPFyFwHnFypgSmgEcyIwpm78YA-kqRk06deg91F0BdPcxxPuLJ_kmA4S5ypPplpN36VBcdczXSBbfDyqPf58pKaTx8EU4vMdAZszjdIBV5U.J7TNB-GNKhBoQXa9rh0UUDpTsBmHp7se0Fa4G8d3iq0&amp;dib_tag=se&amp;keywords=magnifying+glass&amp;qid=1726851653&amp;sprefix=magnifying+glas%2Caps%2C108&amp;sr=8-7" TargetMode="External"/><Relationship Id="rId38" Type="http://schemas.openxmlformats.org/officeDocument/2006/relationships/hyperlink" Target="https://www.heb.com/product-detail/hill-country-fare-bleach-regular-64-oz/3502021" TargetMode="External"/><Relationship Id="rId46" Type="http://schemas.openxmlformats.org/officeDocument/2006/relationships/hyperlink" Target="https://www.micrologylabs.com/product/easygel-regular-dish/" TargetMode="External"/><Relationship Id="rId59"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67" Type="http://schemas.openxmlformats.org/officeDocument/2006/relationships/comments" Target="../comments3.xml"/><Relationship Id="rId20" Type="http://schemas.openxmlformats.org/officeDocument/2006/relationships/hyperlink" Target="https://www.amazon.com/Magnifying-Handheld-Reading-Magnifier-Seniors/dp/B07R4H9PVL/ref=sr_1_7?crid=12ONI1N7OROC0&amp;dib=eyJ2IjoiMSJ9.wRyd_dlRWa4712fTQnVNtDOXupvY-mmCqk2FHB-UbOHaO3Gi5csuzWxI_-IGgKKZGSVk1i6emui1MRNXeUQkGoIbBKNDPQtAzsqjGJIs-u2DG440mbo_U7IGGZIxyC6gzk8Lp5OEaltRSquxRcCvaTVd8klGewGKASN4W4zsmUGIDUBvlzk2u7Im7C5uVSb8fPFyFwHnFypgSmgEcyIwpm78YA-kqRk06deg91F0BdPcxxPuLJ_kmA4S5ypPplpN36VBcdczXSBbfDyqPf58pKaTx8EU4vMdAZszjdIBV5U.J7TNB-GNKhBoQXa9rh0UUDpTsBmHp7se0Fa4G8d3iq0&amp;dib_tag=se&amp;keywords=magnifying+glass&amp;qid=1726851653&amp;sprefix=magnifying+glas%2Caps%2C108&amp;sr=8-7" TargetMode="External"/><Relationship Id="rId41"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2Bgoggle&amp;qid=1744980202&amp;sprefix=safety%2Bgoggle%2Caps%2C209&amp;sr=8-2-spons&amp;sp_csd=d2lkZ2V0TmFtZT1zcF9hdGY&amp;th=1" TargetMode="External"/><Relationship Id="rId54" Type="http://schemas.openxmlformats.org/officeDocument/2006/relationships/hyperlink" Target="https://www.amazon.com/Nasco-Whirl-Pak-B01040WA-Thickness-100mlCapacity/dp/B001424MZC/ref=sr_1_10?crid=19BCEUJAZHXXF&amp;dib=eyJ2IjoiMSJ9.SEVQ8JgJUiusgcaNIMjWQZNUIKFenwuwnhnIPgUPvXykImg-7K3qKfgNddV_6g1dGYSa5poufHUANUFFru8g1zD1DtZlhHRtU-kLF-wOlSLcCO6MTR_TXm8OHpIIyj94G4dC6cYP83Rq0mpQklN2NWyZPBWqE2kXvkG2T8CZBoZShgQyeXiSnxYapZzEpOjKIf4jITE5CMTHBuXDnhVqEZnnXyeHnBIY3-rp9EMvgVCRIr9elSjrMY3lDOnXKG3hJstEbsw_y4G4FprAfIw0vVgPjrTA5LTED7ReQwAkywU.vvKN4z3pd6KqqSDWroLCyTIQvcBQybVUYZN9X_4ylGM&amp;dib_tag=se&amp;keywords=nasco+whirlpak&amp;qid=1752010036&amp;sprefix=nasco+whirlpak+%2Caps%2C327&amp;sr=8-10" TargetMode="External"/><Relationship Id="rId62" Type="http://schemas.openxmlformats.org/officeDocument/2006/relationships/hyperlink" Target="https://www.forestry-suppliers.com/p/53932/32280/sludge-nabber-sampler" TargetMode="External"/><Relationship Id="rId1"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6" Type="http://schemas.openxmlformats.org/officeDocument/2006/relationships/hyperlink" Target="https://www.hach.com/p-water-deionized-100-ml/27242" TargetMode="External"/><Relationship Id="rId15" Type="http://schemas.openxmlformats.org/officeDocument/2006/relationships/hyperlink" Target="https://www.micrologylabs.com/product/coliscan-easygel/" TargetMode="External"/><Relationship Id="rId23" Type="http://schemas.openxmlformats.org/officeDocument/2006/relationships/hyperlink" Target="https://www.micrologylabs.com/product/coliscan-easygel/" TargetMode="External"/><Relationship Id="rId28" Type="http://schemas.openxmlformats.org/officeDocument/2006/relationships/hyperlink" Target="https://www.heb.com/product-detail/h-e-b-texas-tough-double-zipper-quart-freezer-bags-value-pack-80-ct/1997427" TargetMode="External"/><Relationship Id="rId36" Type="http://schemas.openxmlformats.org/officeDocument/2006/relationships/hyperlink" Target="https://www.weberscientific.com/micrology-laboratories-coliscan-easygel-media?srsltid=AfmBOorjtUvtwoiY-ChwPo5M4iiFbYpX45sj12ndicAuekz6mc1zH0lL" TargetMode="External"/><Relationship Id="rId49" Type="http://schemas.openxmlformats.org/officeDocument/2006/relationships/hyperlink" Target="https://www.weberscientific.com/micrology-laboratories-coliscan-easygel-media?srsltid=AfmBOorjtUvtwoiY-ChwPo5M4iiFbYpX45sj12ndicAuekz6mc1zH0lL" TargetMode="External"/><Relationship Id="rId57" Type="http://schemas.openxmlformats.org/officeDocument/2006/relationships/hyperlink" Target="https://www.amazon.com/Magnifying-Handheld-Magnifier-Newspaper-Exploration/dp/B0D65NM8H1/ref=sr_1_10?crid=2MMJT14N7O5NM&amp;dib=eyJ2IjoiMSJ9.lsXxPkCUEioX0HdXqhfRPln8c3i1PxZg5hoe3GvMJ2W0X5b8YvhiYrAebEpmoGK4FTOKxEIunQ8UmMsiTlZzYatBedQmsN63TfKLjeJ_xrHvwibIWVXtceNhNpwOVfKSxyhJbCU16MT5oAUUHdNC3YLnDJGgA4PfUlg7r6onAp7Yf_YyCoTQAvQaSY2whcPyBA2kapbSzjZ3MbVZdZuUYkfrqPmRx8FSySVvSZM6SAV8dm4TggdpMWD6wGhmui936t7L8vwV7uahosEKSQUo-3ugZx_LttIVMuRJbpjjYHc.tM7Vk9kYRO_HGEoXidWaQ1DWTtSG3oY1ZYT2-BAY6pA&amp;dib_tag=se&amp;keywords=magnifying%2Bglass&amp;qid=1759507312&amp;sprefix=magnifying%2Bglass%2Caps%2C257&amp;sr=8-10&amp;th=1" TargetMode="External"/><Relationship Id="rId10" Type="http://schemas.openxmlformats.org/officeDocument/2006/relationships/hyperlink" Target="https://www.amazon.com/Nasco-B01310WA-Swing-Sampler-Length/dp/B00BUTWK7Q?source=ps-sl-shoppingads-lpcontext&amp;ref_=fplfs&amp;psc=1&amp;smid=A351OZYBPHCS52&amp;gQT=1" TargetMode="External"/><Relationship Id="rId31" Type="http://schemas.openxmlformats.org/officeDocument/2006/relationships/hyperlink" Target="https://westernranchsupply.com/product/still-air-incubator/?srsltid=AfmBOopuuWNA1Ye1uq4UGOyWpssQIL3c18mKKueYNMRur2m1XN7X41lmx_c&amp;gQT=1" TargetMode="External"/><Relationship Id="rId44" Type="http://schemas.openxmlformats.org/officeDocument/2006/relationships/hyperlink" Target="https://www.heb.com/product-detail/h-e-b-texas-tough-double-zipper-gallon-storage-bags-value-pack-80-ct/3199560" TargetMode="External"/><Relationship Id="rId52" Type="http://schemas.openxmlformats.org/officeDocument/2006/relationships/hyperlink" Target="https://www.heb.com/product-detail/hill-country-fare-bleach-regular-64-oz/3502021" TargetMode="External"/><Relationship Id="rId60"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65" Type="http://schemas.openxmlformats.org/officeDocument/2006/relationships/printerSettings" Target="../printerSettings/printerSettings3.bin"/><Relationship Id="rId4" Type="http://schemas.openxmlformats.org/officeDocument/2006/relationships/hyperlink" Target="https://www.amazon.com/Nasco-Whirl-Pak-B01040WA-Thickness-100mlCapacity/dp/B001424MZC/ref=sr_1_10?crid=19BCEUJAZHXXF&amp;dib=eyJ2IjoiMSJ9.SEVQ8JgJUiusgcaNIMjWQZNUIKFenwuwnhnIPgUPvXykImg-7K3qKfgNddV_6g1dGYSa5poufHUANUFFru8g1zD1DtZlhHRtU-kLF-wOlSLcCO6MTR_TXm8OHpIIyj94G4dC6cYP83Rq0mpQklN2NWyZPBWqE2kXvkG2T8CZBoZShgQyeXiSnxYapZzEpOjKIf4jITE5CMTHBuXDnhVqEZnnXyeHnBIY3-rp9EMvgVCRIr9elSjrMY3lDOnXKG3hJstEbsw_y4G4FprAfIw0vVgPjrTA5LTED7ReQwAkywU.vvKN4z3pd6KqqSDWroLCyTIQvcBQybVUYZN9X_4ylGM&amp;dib_tag=se&amp;keywords=nasco+whirlpak&amp;qid=1752010036&amp;sprefix=nasco+whirlpak+%2Caps%2C327&amp;sr=8-10" TargetMode="External"/><Relationship Id="rId9" Type="http://schemas.openxmlformats.org/officeDocument/2006/relationships/hyperlink" Target="https://www.amazon.com/Magnifying-Handheld-Reading-Magnifier-Seniors/dp/B07R4H9PVL/ref=sr_1_7?crid=12ONI1N7OROC0&amp;dib=eyJ2IjoiMSJ9.wRyd_dlRWa4712fTQnVNtDOXupvY-mmCqk2FHB-UbOHaO3Gi5csuzWxI_-IGgKKZGSVk1i6emui1MRNXeUQkGoIbBKNDPQtAzsqjGJIs-u2DG440mbo_U7IGGZIxyC6gzk8Lp5OEaltRSquxRcCvaTVd8klGewGKASN4W4zsmUGIDUBvlzk2u7Im7C5uVSb8fPFyFwHnFypgSmgEcyIwpm78YA-kqRk06deg91F0BdPcxxPuLJ_kmA4S5ypPplpN36VBcdczXSBbfDyqPf58pKaTx8EU4vMdAZszjdIBV5U.J7TNB-GNKhBoQXa9rh0UUDpTsBmHp7se0Fa4G8d3iq0&amp;dib_tag=se&amp;keywords=magnifying+glass&amp;qid=1726851653&amp;sprefix=magnifying+glas%2Caps%2C108&amp;sr=8-7" TargetMode="External"/><Relationship Id="rId13" Type="http://schemas.openxmlformats.org/officeDocument/2006/relationships/hyperlink" Target="https://www.heb.com/product-detail/h-e-b-texas-tough-double-zipper-gallon-storage-bags-value-pack-80-ct/3199560" TargetMode="External"/><Relationship Id="rId18" Type="http://schemas.openxmlformats.org/officeDocument/2006/relationships/hyperlink" Target="https://www.hach.com/p-water-deionized-100-ml/27242" TargetMode="External"/><Relationship Id="rId39" Type="http://schemas.openxmlformats.org/officeDocument/2006/relationships/hyperlink" Target="https://www.heb.com/product-detail/hill-country-fare-bleach-regular-64-oz/350202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21" Type="http://schemas.openxmlformats.org/officeDocument/2006/relationships/hyperlink" Target="https://www.hach.com/p-water-deionized-100-ml/27242" TargetMode="External"/><Relationship Id="rId34" Type="http://schemas.openxmlformats.org/officeDocument/2006/relationships/hyperlink" Target="https://www.forestry-suppliers.com/p/79239/31330/whirl-pak-write-on-black-sterilized-bags?gad_source=1&amp;gad_campaignid=17413343424&amp;gbraid=0AAAAAD_jPosVt26nBn_rSMAzwEKvOJiBm&amp;gclid=Cj0KCQjwrc7GBhCfARIsAHGcW5VU9VU81jP6EdrASCGpENolKtm-6Yt1cHUK56CdQUO2pzDg1716IgkaAqg5EALw_wcB" TargetMode="External"/><Relationship Id="rId42" Type="http://schemas.openxmlformats.org/officeDocument/2006/relationships/hyperlink" Target="https://www.heb.com/product-detail/hill-country-fare-natural-texas-spring-water-20-oz/1787491" TargetMode="External"/><Relationship Id="rId47" Type="http://schemas.openxmlformats.org/officeDocument/2006/relationships/hyperlink" Target="https://www.amazon.com/Stren-SOPS4-26-Original/dp/B09TWRQRR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50" Type="http://schemas.openxmlformats.org/officeDocument/2006/relationships/hyperlink" Target="https://www.walmart.com/ip/Sharpie-Permanent-Markers-Fine-Point-Black-2-Count/17617453?classType=REGULAR&amp;athbdg=L1102&amp;from=/search" TargetMode="External"/><Relationship Id="rId55" Type="http://schemas.openxmlformats.org/officeDocument/2006/relationships/hyperlink" Target="https://www.amazon.com/Stainless-Tweezers-Dressing-Forceps-Serrated/dp/B00EKQ7FZI/ref=sr_1_9?crid=1FL18RB3J7NBW&amp;dib=eyJ2IjoiMSJ9.lJwhLJnucYAGeGPqh4WC-_lL_W14Yupt_Lc-NR5uMU_kLUw0kAv5bXYKDQ3U0kwdwPCsvWUK1LBcAUZ-C93Uv_cGLhIAvfzypVMvYposuT3X7qXzLdA7RpJ2YT0ucS1i2mewumMsINbgrn9ptW7yASj0iAmEboYVOES_xoWyUoPQ025GF6AuC5BaUf-AQBu4g936YkODqtTP48WG1djmLYSul0ZJh55jdheORXiVg_M.e-Nl47ZkfJYm7tijLJZhUgI-lvb4RGDZpb3TrIwJQR8&amp;dib_tag=se&amp;keywords=forceps&amp;qid=1727184887&amp;sprefix=forceps%2Caps%2C105&amp;sr=8-9&amp;th=1" TargetMode="External"/><Relationship Id="rId63"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68" Type="http://schemas.openxmlformats.org/officeDocument/2006/relationships/comments" Target="../comments4.xml"/><Relationship Id="rId7" Type="http://schemas.openxmlformats.org/officeDocument/2006/relationships/hyperlink" Target="https://www.amazon.com/Stainless-Tweezers-Dressing-Forceps-Serrated/dp/B00EKQ7FZI/ref=sr_1_9?crid=1FL18RB3J7NBW&amp;dib=eyJ2IjoiMSJ9.lJwhLJnucYAGeGPqh4WC-_lL_W14Yupt_Lc-NR5uMU_kLUw0kAv5bXYKDQ3U0kwdwPCsvWUK1LBcAUZ-C93Uv_cGLhIAvfzypVMvYposuT3X7qXzLdA7RpJ2YT0ucS1i2mewumMsINbgrn9ptW7yASj0iAmEboYVOES_xoWyUoPQ025GF6AuC5BaUf-AQBu4g936YkODqtTP48WG1djmLYSul0ZJh55jdheORXiVg_M.e-Nl47ZkfJYm7tijLJZhUgI-lvb4RGDZpb3TrIwJQR8&amp;dib_tag=se&amp;keywords=forceps&amp;qid=1727184887&amp;sprefix=forceps%2Caps%2C105&amp;sr=8-9&amp;th=1" TargetMode="External"/><Relationship Id="rId2"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16" Type="http://schemas.openxmlformats.org/officeDocument/2006/relationships/hyperlink" Target="https://www.amazon.com/Nasco-B01310WA-Swing-Sampler-Length/dp/B00BUTWK7Q?source=ps-sl-shoppingads-lpcontext&amp;ref_=fplfs&amp;psc=1&amp;smid=A351OZYBPHCS52&amp;gQT=1" TargetMode="External"/><Relationship Id="rId29" Type="http://schemas.openxmlformats.org/officeDocument/2006/relationships/hyperlink" Target="https://www.amazon.com/Nasco-B01310WA-Swing-Sampler-Length/dp/B00BUTWK7Q?source=ps-sl-shoppingads-lpcontext&amp;ref_=fplfs&amp;psc=1&amp;smid=A351OZYBPHCS52&amp;gQT=1" TargetMode="External"/><Relationship Id="rId11" Type="http://schemas.openxmlformats.org/officeDocument/2006/relationships/hyperlink" Target="https://www.amazon.com/Stren-SOPS4-26-Original/dp/B00LDYIQG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24" Type="http://schemas.openxmlformats.org/officeDocument/2006/relationships/hyperlink" Target="https://www.lowes.com/pd/Blue-Hawk-0-2188-in-x-50-ft-Braided-Cotton-Rope-By-the-Roll/1000759870" TargetMode="External"/><Relationship Id="rId32" Type="http://schemas.openxmlformats.org/officeDocument/2006/relationships/hyperlink" Target="https://www.amazon.com/Nasco-B01310WA-Swing-Sampler-Length/dp/B00BUTWK7Q?source=ps-sl-shoppingads-lpcontext&amp;ref_=fplfs&amp;psc=1&amp;smid=A351OZYBPHCS52&amp;gQT=1" TargetMode="External"/><Relationship Id="rId37" Type="http://schemas.openxmlformats.org/officeDocument/2006/relationships/hyperlink" Target="https://www.forestry-suppliers.com/p/79239/31330/whirl-pak-write-on-black-sterilized-bags?gad_source=1&amp;gad_campaignid=17413343424&amp;gbraid=0AAAAAD_jPosVt26nBn_rSMAzwEKvOJiBm&amp;gclid=Cj0KCQjwrc7GBhCfARIsAHGcW5VU9VU81jP6EdrASCGpENolKtm-6Yt1cHUK56CdQUO2pzDg1716IgkaAqg5EALw_wcB" TargetMode="External"/><Relationship Id="rId40"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45" Type="http://schemas.openxmlformats.org/officeDocument/2006/relationships/hyperlink" Target="https://www.walmart.com/ip/Sharpie-Permanent-Markers-Fine-Point-Black-2-Count/17617453?classType=REGULAR&amp;athbdg=L1102&amp;from=/search" TargetMode="External"/><Relationship Id="rId53"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58" Type="http://schemas.openxmlformats.org/officeDocument/2006/relationships/hyperlink" Target="https://www.walmart.com/ip/Hyper-Tough-Retractable-Utility-Knife-With-5-Utility-Blades/531295900?classType=VARIANT&amp;athbdg=L1102&amp;from=/search" TargetMode="External"/><Relationship Id="rId66" Type="http://schemas.openxmlformats.org/officeDocument/2006/relationships/printerSettings" Target="../printerSettings/printerSettings4.bin"/><Relationship Id="rId5" Type="http://schemas.openxmlformats.org/officeDocument/2006/relationships/hyperlink" Target="https://www.amazon.com/DARKBEAM-Flashlight-Rechargeable-Blacklight-Flashlights/dp/B0CNXCJRCC/ref=sr_1_3_sspa?crid=5148CR68X3XD&amp;dib=eyJ2IjoiMSJ9.0lkf0HYYRJyGNZ9uN2OSssKxyZsWg2X59eE_bA7WrsMfzt2FLHPReCsH-jS-6lz3gvhhE9rsZFoucCA8_uSBUFmiDNKlmLvkOq-eEAnP3jDBC5zRjI0Ka3K-uwLoT6a6AIiUD5QQW8Se48CFugcTbdID4d48S_QPNEdtVyvRF00zm2BILZzOn2rNwkAl6jWEr8NYs7HqtH7ZWiWsa82fPKVrKCEVauRSxc0MsTwmcuf0hP_HWNNRwp0GyfB09gwzsyO162ZLLS0e7C9VaJO_i5H38MYeg5iRGq-PA-IlWrA.QHb1PRYxe9WiLzvSuLaM7CArDNRZ8uZLTn4TexoXUs4&amp;dib_tag=se&amp;keywords=365%2Bnm%2Buv%2Bflashlight&amp;qid=1751923840&amp;sprefix=365%2Bnm%2Buv%2Bfl%2Caps%2C172&amp;sr=8-3-spons&amp;sp_csd=d2lkZ2V0TmFtZT1zcF9hdGY&amp;th=1" TargetMode="External"/><Relationship Id="rId61"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19" Type="http://schemas.openxmlformats.org/officeDocument/2006/relationships/hyperlink" Target="https://www.amazon.com/Sharpie-Permanent-Marker-Point-Black/dp/B000I0TZO4/ref=sr_1_1?crid=23PBGVCPVVXAG&amp;dib=eyJ2IjoiMSJ9.gh3DfmSUKF27AgTnEFInGG180haLH2524CgJiRCDNNarQW3LLND1GClyXJivvya3r9GqRI5fpzZds0-gSAp0fZu4G5MfdaQudiK1U3JCQhkTS0rxnQpNRG9V6plj2xCMi0VrWHmhWqi5zuJWOfX7XqWqEFJc2h0Cdj0ZvOvCoLhGSeqo_LKww_UXK7nxjy1qUETy4AWrQF4HcAJAjl-GWyqz_cAqc3sOfsAavuht-asopJFh8QVht2iJllVw_LRIBia6oY1-GJFmQhp3AXOUFwXqz6EYCKNsmb-X4KjX02I.6GaJosfmw4jD_ZIGIiRilc2Qn53xsZIKJuDqrqFhZIY&amp;dib_tag=se&amp;keywords=fine%2Btip%2Bsharpie%2B450253&amp;qid=1727184971&amp;sprefix=fine%2Btip%2Bsharpie%2B450253%2Caps%2C97&amp;sr=8-1&amp;th=1" TargetMode="External"/><Relationship Id="rId14"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22" Type="http://schemas.openxmlformats.org/officeDocument/2006/relationships/hyperlink" Target="https://www.amazon.com/DIYSELF-2Pack-Utility-Cutter-Retractable/dp/B08NX3MYKV/ref=sr_1_8?crid=3H27NEPYE8JY7&amp;dib=eyJ2IjoiMSJ9.CPr5Cqo51bowxZA6asfxuYXHV5XDXrB_xofl-kfQnXZrvXKJ83ijmpbgbTJ1xZS0XxipT00zvIcd0xPMQkB8GBb4fpRNJ1VGqbl4AUSussKmtsP_x7IqD2LOsegnq5eYLb6k6krBpstT7-0IRKPv-oAr-EMbbpmyGrPTHqJdDCktEHQ6ge3OFPdfxQaeZbiOrTDBqkVe2EH_bqejjJLxdgkKIe-pjgE5vVV4jiteTe9QO9zffWqBmrFx6W73oUOiVbJ8qa_L3A0kcXHmztc-H_755gbxSpdnvZTfdMMV-KrlIBf9B8zyVZpdBkang4zxY8ySyzv6NSeBtngq-VAC9-cirlwIMsY80ufjsuPdbFl3O2k2NjhLG1fsiGQ35lMjM7ucG4RjNDQZKKstEdDIGv57ZN_Ny5o-ZIEmZyGFxDmm11HnOmeJM2h9Z-TkuO5M.uhHlNTd4FaS7oJpcLNkr6Da20oO2py7a1fTp_-L-jKk&amp;dib_tag=se&amp;keywords=box%2Bcutter%2Bretractable&amp;qid=1734366877&amp;sprefix=box%2Bcutter%27%2Caps%2C94&amp;sr=8-8&amp;th=1" TargetMode="External"/><Relationship Id="rId27" Type="http://schemas.openxmlformats.org/officeDocument/2006/relationships/hyperlink" Target="https://www.amazon.com/Stren-SOPS4-26-Original/dp/B09TWRQRR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30"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35" Type="http://schemas.openxmlformats.org/officeDocument/2006/relationships/hyperlink" Target="https://www.forestry-suppliers.com/p/79239/31330/whirl-pak-write-on-black-sterilized-bags?gad_source=1&amp;gad_campaignid=17413343424&amp;gbraid=0AAAAAD_jPosVt26nBn_rSMAzwEKvOJiBm&amp;gclid=Cj0KCQjwrc7GBhCfARIsAHGcW5VU9VU81jP6EdrASCGpENolKtm-6Yt1cHUK56CdQUO2pzDg1716IgkaAqg5EALw_wcB" TargetMode="External"/><Relationship Id="rId43" Type="http://schemas.openxmlformats.org/officeDocument/2006/relationships/hyperlink" Target="https://www.heb.com/product-detail/hill-country-fare-natural-texas-spring-water-20-oz/1787491" TargetMode="External"/><Relationship Id="rId48" Type="http://schemas.openxmlformats.org/officeDocument/2006/relationships/hyperlink" Target="https://www.amazon.com/Stren-SOPS4-26-Original/dp/B00LDYIQG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56" Type="http://schemas.openxmlformats.org/officeDocument/2006/relationships/hyperlink" Target="https://www.walmart.com/ip/Sharpie-Permanent-Markers-Fine-Point-Black-2-Count/17617453?classType=REGULAR&amp;athbdg=L1102&amp;from=/search" TargetMode="External"/><Relationship Id="rId64"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8" Type="http://schemas.openxmlformats.org/officeDocument/2006/relationships/hyperlink" Target="https://www.hach.com/p-water-deionized-100-ml/27242" TargetMode="External"/><Relationship Id="rId51" Type="http://schemas.openxmlformats.org/officeDocument/2006/relationships/hyperlink" Target="https://www.walmart.com/ip/Hyper-Tough-Retractable-Utility-Knife-With-5-Utility-Blades/531295900?classType=VARIANT&amp;athbdg=L1102&amp;from=/search" TargetMode="External"/><Relationship Id="rId3" Type="http://schemas.openxmlformats.org/officeDocument/2006/relationships/hyperlink" Target="https://lamotte.com/" TargetMode="External"/><Relationship Id="rId12" Type="http://schemas.openxmlformats.org/officeDocument/2006/relationships/hyperlink" Target="https://www.lowes.com/pd/Blue-Hawk-0-2188-in-x-50-ft-Braided-Cotton-Rope-By-the-Roll/1000759870" TargetMode="External"/><Relationship Id="rId17"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25" Type="http://schemas.openxmlformats.org/officeDocument/2006/relationships/hyperlink" Target="https://www.hach.com/p-water-deionized-100-ml/27242" TargetMode="External"/><Relationship Id="rId33" Type="http://schemas.openxmlformats.org/officeDocument/2006/relationships/hyperlink" Target="https://www.heb.com/product-detail/hill-country-fare-natural-texas-spring-water-20-oz/1787491" TargetMode="External"/><Relationship Id="rId38" Type="http://schemas.openxmlformats.org/officeDocument/2006/relationships/hyperlink" Target="https://www.heb.com/product-detail/hill-country-fare-natural-texas-spring-water-20-oz/1787491" TargetMode="External"/><Relationship Id="rId46" Type="http://schemas.openxmlformats.org/officeDocument/2006/relationships/hyperlink" Target="https://www.walmart.com/ip/Hyper-Tough-Retractable-Utility-Knife-With-5-Utility-Blades/531295900?classType=VARIANT&amp;athbdg=L1102&amp;from=/search" TargetMode="External"/><Relationship Id="rId59" Type="http://schemas.openxmlformats.org/officeDocument/2006/relationships/hyperlink" Target="https://www.forestry-suppliers.com/p/53932/32280/sludge-nabber-sampler" TargetMode="External"/><Relationship Id="rId67" Type="http://schemas.openxmlformats.org/officeDocument/2006/relationships/vmlDrawing" Target="../drawings/vmlDrawing4.vml"/><Relationship Id="rId20" Type="http://schemas.openxmlformats.org/officeDocument/2006/relationships/hyperlink" Target="https://www.amazon.com/Stainless-Tweezers-Dressing-Forceps-Serrated/dp/B00EKQ7FZI/ref=sr_1_9?crid=1FL18RB3J7NBW&amp;dib=eyJ2IjoiMSJ9.lJwhLJnucYAGeGPqh4WC-_lL_W14Yupt_Lc-NR5uMU_kLUw0kAv5bXYKDQ3U0kwdwPCsvWUK1LBcAUZ-C93Uv_cGLhIAvfzypVMvYposuT3X7qXzLdA7RpJ2YT0ucS1i2mewumMsINbgrn9ptW7yASj0iAmEboYVOES_xoWyUoPQ025GF6AuC5BaUf-AQBu4g936YkODqtTP48WG1djmLYSul0ZJh55jdheORXiVg_M.e-Nl47ZkfJYm7tijLJZhUgI-lvb4RGDZpb3TrIwJQR8&amp;dib_tag=se&amp;keywords=forceps&amp;qid=1727184887&amp;sprefix=forceps%2Caps%2C105&amp;sr=8-9&amp;th=1" TargetMode="External"/><Relationship Id="rId41"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2Bgoggle&amp;qid=1744980202&amp;sprefix=safety%2Bgoggle%2Caps%2C209&amp;sr=8-2-spons&amp;sp_csd=d2lkZ2V0TmFtZT1zcF9hdGY&amp;th=1" TargetMode="External"/><Relationship Id="rId54" Type="http://schemas.openxmlformats.org/officeDocument/2006/relationships/hyperlink" Target="https://www.amazon.com/Sharpie-Permanent-Marker-Point-Black/dp/B000I0TZO4/ref=sr_1_1?crid=23PBGVCPVVXAG&amp;dib=eyJ2IjoiMSJ9.gh3DfmSUKF27AgTnEFInGG180haLH2524CgJiRCDNNarQW3LLND1GClyXJivvya3r9GqRI5fpzZds0-gSAp0fZu4G5MfdaQudiK1U3JCQhkTS0rxnQpNRG9V6plj2xCMi0VrWHmhWqi5zuJWOfX7XqWqEFJc2h0Cdj0ZvOvCoLhGSeqo_LKww_UXK7nxjy1qUETy4AWrQF4HcAJAjl-GWyqz_cAqc3sOfsAavuht-asopJFh8QVht2iJllVw_LRIBia6oY1-GJFmQhp3AXOUFwXqz6EYCKNsmb-X4KjX02I.6GaJosfmw4jD_ZIGIiRilc2Qn53xsZIKJuDqrqFhZIY&amp;dib_tag=se&amp;keywords=fine%2Btip%2Bsharpie%2B450253&amp;qid=1727184971&amp;sprefix=fine%2Btip%2Bsharpie%2B450253%2Caps%2C97&amp;sr=8-1&amp;th=1" TargetMode="External"/><Relationship Id="rId62" Type="http://schemas.openxmlformats.org/officeDocument/2006/relationships/hyperlink" Target="https://www.forestry-suppliers.com/p/53932/32280/sludge-nabber-sampler" TargetMode="External"/><Relationship Id="rId1"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6" Type="http://schemas.openxmlformats.org/officeDocument/2006/relationships/hyperlink" Target="https://www.amazon.com/Sharpie-Permanent-Marker-Point-Black/dp/B000I0TZO4/ref=sr_1_1?crid=23PBGVCPVVXAG&amp;dib=eyJ2IjoiMSJ9.gh3DfmSUKF27AgTnEFInGG180haLH2524CgJiRCDNNarQW3LLND1GClyXJivvya3r9GqRI5fpzZds0-gSAp0fZu4G5MfdaQudiK1U3JCQhkTS0rxnQpNRG9V6plj2xCMi0VrWHmhWqi5zuJWOfX7XqWqEFJc2h0Cdj0ZvOvCoLhGSeqo_LKww_UXK7nxjy1qUETy4AWrQF4HcAJAjl-GWyqz_cAqc3sOfsAavuht-asopJFh8QVht2iJllVw_LRIBia6oY1-GJFmQhp3AXOUFwXqz6EYCKNsmb-X4KjX02I.6GaJosfmw4jD_ZIGIiRilc2Qn53xsZIKJuDqrqFhZIY&amp;dib_tag=se&amp;keywords=fine%2Btip%2Bsharpie%2B450253&amp;qid=1727184971&amp;sprefix=fine%2Btip%2Bsharpie%2B450253%2Caps%2C97&amp;sr=8-1&amp;th=1" TargetMode="External"/><Relationship Id="rId15" Type="http://schemas.openxmlformats.org/officeDocument/2006/relationships/hyperlink" Target="https://www.lowes.com/pd/Blue-Hawk-0-2188-in-x-50-ft-Braided-Cotton-Rope-By-the-Roll/1000759870" TargetMode="External"/><Relationship Id="rId23" Type="http://schemas.openxmlformats.org/officeDocument/2006/relationships/hyperlink" Target="https://www.amazon.com/Stren-SOPS4-26-Original/dp/B00LDYIQG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28" Type="http://schemas.openxmlformats.org/officeDocument/2006/relationships/hyperlink" Target="https://www.lowes.com/pd/Blue-Hawk-0-2188-in-x-50-ft-Braided-Cotton-Rope-By-the-Roll/1000759870" TargetMode="External"/><Relationship Id="rId36" Type="http://schemas.openxmlformats.org/officeDocument/2006/relationships/hyperlink" Target="https://www.forestry-suppliers.com/p/79239/31330/whirl-pak-write-on-black-sterilized-bags?gad_source=1&amp;gad_campaignid=17413343424&amp;gbraid=0AAAAAD_jPosVt26nBn_rSMAzwEKvOJiBm&amp;gclid=Cj0KCQjwrc7GBhCfARIsAHGcW5VU9VU81jP6EdrASCGpENolKtm-6Yt1cHUK56CdQUO2pzDg1716IgkaAqg5EALw_wcB" TargetMode="External"/><Relationship Id="rId49" Type="http://schemas.openxmlformats.org/officeDocument/2006/relationships/hyperlink" Target="https://www.amazon.com/Stren-SOPS4-26-Original/dp/B09TWRQRR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57" Type="http://schemas.openxmlformats.org/officeDocument/2006/relationships/hyperlink" Target="https://www.amazon.com/DIYSELF-2Pack-Utility-Cutter-Retractable/dp/B08NX3MYKV/ref=sr_1_8?crid=3H27NEPYE8JY7&amp;dib=eyJ2IjoiMSJ9.CPr5Cqo51bowxZA6asfxuYXHV5XDXrB_xofl-kfQnXZrvXKJ83ijmpbgbTJ1xZS0XxipT00zvIcd0xPMQkB8GBb4fpRNJ1VGqbl4AUSussKmtsP_x7IqD2LOsegnq5eYLb6k6krBpstT7-0IRKPv-oAr-EMbbpmyGrPTHqJdDCktEHQ6ge3OFPdfxQaeZbiOrTDBqkVe2EH_bqejjJLxdgkKIe-pjgE5vVV4jiteTe9QO9zffWqBmrFx6W73oUOiVbJ8qa_L3A0kcXHmztc-H_755gbxSpdnvZTfdMMV-KrlIBf9B8zyVZpdBkang4zxY8ySyzv6NSeBtngq-VAC9-cirlwIMsY80ufjsuPdbFl3O2k2NjhLG1fsiGQ35lMjM7ucG4RjNDQZKKstEdDIGv57ZN_Ny5o-ZIEmZyGFxDmm11HnOmeJM2h9Z-TkuO5M.uhHlNTd4FaS7oJpcLNkr6Da20oO2py7a1fTp_-L-jKk&amp;dib_tag=se&amp;keywords=box%2Bcutter%2Bretractable&amp;qid=1734366877&amp;sprefix=box%2Bcutter%27%2Caps%2C94&amp;sr=8-8&amp;th=1" TargetMode="External"/><Relationship Id="rId10" Type="http://schemas.openxmlformats.org/officeDocument/2006/relationships/hyperlink" Target="https://www.amazon.com/DIYSELF-2Pack-Utility-Cutter-Retractable/dp/B08NX3MYKV/ref=sr_1_8?crid=3H27NEPYE8JY7&amp;dib=eyJ2IjoiMSJ9.CPr5Cqo51bowxZA6asfxuYXHV5XDXrB_xofl-kfQnXZrvXKJ83ijmpbgbTJ1xZS0XxipT00zvIcd0xPMQkB8GBb4fpRNJ1VGqbl4AUSussKmtsP_x7IqD2LOsegnq5eYLb6k6krBpstT7-0IRKPv-oAr-EMbbpmyGrPTHqJdDCktEHQ6ge3OFPdfxQaeZbiOrTDBqkVe2EH_bqejjJLxdgkKIe-pjgE5vVV4jiteTe9QO9zffWqBmrFx6W73oUOiVbJ8qa_L3A0kcXHmztc-H_755gbxSpdnvZTfdMMV-KrlIBf9B8zyVZpdBkang4zxY8ySyzv6NSeBtngq-VAC9-cirlwIMsY80ufjsuPdbFl3O2k2NjhLG1fsiGQ35lMjM7ucG4RjNDQZKKstEdDIGv57ZN_Ny5o-ZIEmZyGFxDmm11HnOmeJM2h9Z-TkuO5M.uhHlNTd4FaS7oJpcLNkr6Da20oO2py7a1fTp_-L-jKk&amp;dib_tag=se&amp;keywords=box%2Bcutter%2Bretractable&amp;qid=1734366877&amp;sprefix=box%2Bcutter%27%2Caps%2C94&amp;sr=8-8&amp;th=1" TargetMode="External"/><Relationship Id="rId31" Type="http://schemas.openxmlformats.org/officeDocument/2006/relationships/hyperlink" Target="https://www.amazon.com/DARKBEAM-Flashlight-Rechargeable-Blacklight-Flashlights/dp/B0CNXCJRCC/ref=sr_1_3_sspa?crid=5148CR68X3XD&amp;dib=eyJ2IjoiMSJ9.0lkf0HYYRJyGNZ9uN2OSssKxyZsWg2X59eE_bA7WrsMfzt2FLHPReCsH-jS-6lz3gvhhE9rsZFoucCA8_uSBUFmiDNKlmLvkOq-eEAnP3jDBC5zRjI0Ka3K-uwLoT6a6AIiUD5QQW8Se48CFugcTbdID4d48S_QPNEdtVyvRF00zm2BILZzOn2rNwkAl6jWEr8NYs7HqtH7ZWiWsa82fPKVrKCEVauRSxc0MsTwmcuf0hP_HWNNRwp0GyfB09gwzsyO162ZLLS0e7C9VaJO_i5H38MYeg5iRGq-PA-IlWrA.QHb1PRYxe9WiLzvSuLaM7CArDNRZ8uZLTn4TexoXUs4&amp;dib_tag=se&amp;keywords=365%2Bnm%2Buv%2Bflashlight&amp;qid=1751923840&amp;sprefix=365%2Bnm%2Buv%2Bfl%2Caps%2C172&amp;sr=8-3-spons&amp;sp_csd=d2lkZ2V0TmFtZT1zcF9hdGY&amp;th=1" TargetMode="External"/><Relationship Id="rId44" Type="http://schemas.openxmlformats.org/officeDocument/2006/relationships/hyperlink" Target="https://www.amazon.com/Cora-Organic-Non-Applicator-Tampons-Applicator-Free/dp/B072K6K1BH/ref=sr_1_5?crid=3KRVYDN8GYSHS&amp;dib=eyJ2IjoiMSJ9.mqZO1LLrb0-zhYHOWSABiGvMU_2nmDgwXvTxVA4zwsqxsrIcnsF0-YItx-1FISDAc4EK3BLbjcA4SmCFet8RZjS6tau-8me5kDAqYoBQ5kLwRU1A8AtO4FyuvFtzoq8iltDp_eljt_SYzVlafIqDb_wZUdwTYIL1yMvReeJ1ahtjWmsIux6ysWTrRwpso1WCXWf9kwHvRCXCM8CAQCzb7NjmEIOljyTOyi13EEZJetpIkJhGCBDzJkGqolfjGoVeeB8oFH5f_2ZcjnNhq070gNpzhCOsRwtRRldn8zrESHw.9UMHHyJ859nLgDVjz-WNq4MsT6HBNN6rZqFOG65S9Vo&amp;dib_tag=se&amp;keywords=CORA%2Bapplicator%2Bfree%2BTampons&amp;qid=1760725323&amp;sprefix=cora%2Bapplicator%2Bfreetampons%2Caps%2C163&amp;sr=8-5&amp;th=1" TargetMode="External"/><Relationship Id="rId52" Type="http://schemas.openxmlformats.org/officeDocument/2006/relationships/hyperlink" Target="https://www.amazon.com/Stren-SOPS4-26-Original/dp/B09TWRQRRM/ref=sr_1_8?c=ts&amp;dib=eyJ2IjoiMSJ9.5lOdSd369MCCE6aXTceXamyCYUXBAZ2K686x10iLbZOCkfwgmNrGOQ5aUNiMZBqdUe4AM885TaZm8WT-uF27koDT-5io1oeK8DEzSNlv20eW8idR9IRYymCkTnfZY8NfDc88bFMnfRJMHJ06bsPoIC8qVdtaEjXGWRFMexCQhTuM_wcxvz9miNCz8zaQhJk5JkHuLjNCCq4uOVaCajm6LDDAUqHsOn9xAndhN17Mzh4W7XH_an3oCFys16-8uCHFq2tfgnAXpTrIxHo05nZ6W4HePTZkP5s1_nsRcI6Y_2I.9uQxitMFgkA5S3DJZJHMpQrSTcDRNK5h6Lzt3jGS-18&amp;dib_tag=se&amp;keywords=Monofilament%2BFishing%2BLine&amp;qid=1725462364&amp;s=hunting-fishing&amp;sr=1-8&amp;ts_id=3473331&amp;th=1" TargetMode="External"/><Relationship Id="rId60" Type="http://schemas.openxmlformats.org/officeDocument/2006/relationships/hyperlink" Target="https://www.forestry-suppliers.com/p/53932/32280/sludge-nabber-sampler" TargetMode="External"/><Relationship Id="rId65" Type="http://schemas.openxmlformats.org/officeDocument/2006/relationships/hyperlink" Target="https://www.amazon.com/Cora-Organic-Non-Applicator-Tampons-Applicator-Free/dp/B072K6K1BH/ref=sr_1_5?crid=3KRVYDN8GYSHS&amp;dib=eyJ2IjoiMSJ9.mqZO1LLrb0-zhYHOWSABiGvMU_2nmDgwXvTxVA4zwsqxsrIcnsF0-YItx-1FISDAc4EK3BLbjcA4SmCFet8RZjS6tau-8me5kDAqYoBQ5kLwRU1A8AtO4FyuvFtzoq8iltDp_eljt_SYzVlafIqDb_wZUdwTYIL1yMvReeJ1ahtjWmsIux6ysWTrRwpso1WCXWf9kwHvRCXCM8CAQCzb7NjmEIOljyTOyi13EEZJetpIkJhGCBDzJkGqolfjGoVeeB8oFH5f_2ZcjnNhq070gNpzhCOsRwtRRldn8zrESHw.9UMHHyJ859nLgDVjz-WNq4MsT6HBNN6rZqFOG65S9Vo&amp;dib_tag=se&amp;keywords=CORA%2Bapplicator%2Bfree%2BTampons&amp;qid=1760725323&amp;sprefix=cora%2Bapplicator%2Bfreetampons%2Caps%2C163&amp;sr=8-5&amp;th=1" TargetMode="External"/><Relationship Id="rId4"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9" Type="http://schemas.openxmlformats.org/officeDocument/2006/relationships/hyperlink" Target="https://www.amazon.com/Cora-Organic-Non-Applicator-Tampons-Applicator-Free/dp/B072K6K1BH/ref=sr_1_5?crid=3KRVYDN8GYSHS&amp;dib=eyJ2IjoiMSJ9.mqZO1LLrb0-zhYHOWSABiGvMU_2nmDgwXvTxVA4zwsqxsrIcnsF0-YItx-1FISDAc4EK3BLbjcA4SmCFet8RZjS6tau-8me5kDAqYoBQ5kLwRU1A8AtO4FyuvFtzoq8iltDp_eljt_SYzVlafIqDb_wZUdwTYIL1yMvReeJ1ahtjWmsIux6ysWTrRwpso1WCXWf9kwHvRCXCM8CAQCzb7NjmEIOljyTOyi13EEZJetpIkJhGCBDzJkGqolfjGoVeeB8oFH5f_2ZcjnNhq070gNpzhCOsRwtRRldn8zrESHw.9UMHHyJ859nLgDVjz-WNq4MsT6HBNN6rZqFOG65S9Vo&amp;dib_tag=se&amp;keywords=CORA%2Bapplicator%2Bfree%2BTampons&amp;qid=1760725323&amp;sprefix=cora%2Bapplicator%2Bfreetampons%2Caps%2C163&amp;sr=8-5&amp;th=1" TargetMode="External"/><Relationship Id="rId13" Type="http://schemas.openxmlformats.org/officeDocument/2006/relationships/hyperlink" Target="https://www.hach.com/p-water-deionized-100-ml/27242" TargetMode="External"/><Relationship Id="rId18" Type="http://schemas.openxmlformats.org/officeDocument/2006/relationships/hyperlink" Target="https://www.amazon.com/DARKBEAM-Flashlight-Rechargeable-Blacklight-Flashlights/dp/B0CNXCJRCC/ref=sr_1_3_sspa?crid=5148CR68X3XD&amp;dib=eyJ2IjoiMSJ9.0lkf0HYYRJyGNZ9uN2OSssKxyZsWg2X59eE_bA7WrsMfzt2FLHPReCsH-jS-6lz3gvhhE9rsZFoucCA8_uSBUFmiDNKlmLvkOq-eEAnP3jDBC5zRjI0Ka3K-uwLoT6a6AIiUD5QQW8Se48CFugcTbdID4d48S_QPNEdtVyvRF00zm2BILZzOn2rNwkAl6jWEr8NYs7HqtH7ZWiWsa82fPKVrKCEVauRSxc0MsTwmcuf0hP_HWNNRwp0GyfB09gwzsyO162ZLLS0e7C9VaJO_i5H38MYeg5iRGq-PA-IlWrA.QHb1PRYxe9WiLzvSuLaM7CArDNRZ8uZLTn4TexoXUs4&amp;dib_tag=se&amp;keywords=365%2Bnm%2Buv%2Bflashlight&amp;qid=1751923840&amp;sprefix=365%2Bnm%2Buv%2Bfl%2Caps%2C172&amp;sr=8-3-spons&amp;sp_csd=d2lkZ2V0TmFtZT1zcF9hdGY&amp;th=1" TargetMode="External"/><Relationship Id="rId39" Type="http://schemas.openxmlformats.org/officeDocument/2006/relationships/hyperlink" Target="https://www.amazon.com/Cora-Organic-Non-Applicator-Tampons-Applicator-Free/dp/B072K6K1BH/ref=sr_1_5?crid=3KRVYDN8GYSHS&amp;dib=eyJ2IjoiMSJ9.mqZO1LLrb0-zhYHOWSABiGvMU_2nmDgwXvTxVA4zwsqxsrIcnsF0-YItx-1FISDAc4EK3BLbjcA4SmCFet8RZjS6tau-8me5kDAqYoBQ5kLwRU1A8AtO4FyuvFtzoq8iltDp_eljt_SYzVlafIqDb_wZUdwTYIL1yMvReeJ1ahtjWmsIux6ysWTrRwpso1WCXWf9kwHvRCXCM8CAQCzb7NjmEIOljyTOyi13EEZJetpIkJhGCBDzJkGqolfjGoVeeB8oFH5f_2ZcjnNhq070gNpzhCOsRwtRRldn8zrESHw.9UMHHyJ859nLgDVjz-WNq4MsT6HBNN6rZqFOG65S9Vo&amp;dib_tag=se&amp;keywords=CORA%2Bapplicator%2Bfree%2BTampons&amp;qid=1760725323&amp;sprefix=cora%2Bapplicator%2Bfreetampons%2Caps%2C163&amp;sr=8-5&amp;th=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lamotte.com/" TargetMode="External"/><Relationship Id="rId21" Type="http://schemas.openxmlformats.org/officeDocument/2006/relationships/hyperlink" Target="https://www.hach.com/p-filtration-aid-solution-29-ml-db/104633" TargetMode="External"/><Relationship Id="rId42"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47" Type="http://schemas.openxmlformats.org/officeDocument/2006/relationships/hyperlink" Target="https://www.hach.com/p-funnel-analytical-65-ml-approximate-volume/108367" TargetMode="External"/><Relationship Id="rId63" Type="http://schemas.openxmlformats.org/officeDocument/2006/relationships/hyperlink" Target="https://www.amazon.com/Kingl-Digital-Stopwatch-Timer-Interval/dp/B07RTXYFMN/ref=sr_1_4?crid=EIVJSRYWKFKL&amp;dib=eyJ2IjoiMSJ9.hghYvgwzYLPeJnXX8R7r18EQ7wcO7dOXMiV4PxHJ3hHLzKAWSX49AXLLfOH4LjU2jdAE0qUkhaB_Cj8bsp7hAXy1MzMox0VWlOElfecugihk71cM-AZJZTqT5Hrr68t3bFwcWjOZt4zj3znTmhevyX9U32eds9Fr_MTHfAdT4vp77tQAcjhxRoQEvIo059prUv943G-wR46Yt4dG71VzGx5JVr7QTJ21aMktfS5SkoA.jsSLdJ57iakhGs4je4oUbkQavjXMhBpOcrF4yhM1Ulg&amp;dib_tag=se&amp;keywords=water%2Bresistant%2Bstopwatch&amp;qid=1727119128&amp;sprefix=water%2Bresistant%2Bstopwatch%2Caps%2C78&amp;sr=8-4&amp;th=1" TargetMode="External"/><Relationship Id="rId68" Type="http://schemas.openxmlformats.org/officeDocument/2006/relationships/hyperlink" Target="https://www.lowes.com/pd/Johnson-Level-3-ft-Metal-Yardstick/1000085721" TargetMode="External"/><Relationship Id="rId7"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71" Type="http://schemas.openxmlformats.org/officeDocument/2006/relationships/comments" Target="../comments5.xml"/><Relationship Id="rId2" Type="http://schemas.openxmlformats.org/officeDocument/2006/relationships/hyperlink" Target="https://lamotte.com/" TargetMode="External"/><Relationship Id="rId16"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29"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11" Type="http://schemas.openxmlformats.org/officeDocument/2006/relationships/hyperlink" Target="https://www.amazon.com/WIFFLE-Ball-Regulation-Baseball-Size/dp/B003A53ER8/ref=sr_1_59?crid=2FS3C1HW4KAVP&amp;dib=eyJ2IjoiMSJ9.E4CjV8z30tE3TT90l1KTAT9l_5v1KdPKYreQpxVeCT7V8gpHc54zuY58UC7aXmCY9iSDNEbWLW-dq-ryti1YgFvPA0XbBinC4wCRhtaXMt9-A6NBVRtTJiE-MPLpPiMSx6k4SZXY9FzR6xGvHBN1yz1mhIzcLi9_gf9Y6IGZGbsLAF-X7Vow5adUTXA6BuXTbFxu18iZ3WTS46qfDZ9rpyuC6aLT3rq_2O_0WvXrJcr4R51v7UKsYLibFEcbC33oymWyBlwcQKV_lcYxpgAZA6oOEHBhk_b2zozxcyahqNc.9pXtzjuGuy9_RohCTbwffowblEanjm_n5v4CYTabXlU&amp;dib_tag=se&amp;keywords=wiffle+ball&amp;qid=1744982966&amp;sprefix=wiffle+ball%2Caps%2C217&amp;sr=8-59" TargetMode="External"/><Relationship Id="rId24" Type="http://schemas.openxmlformats.org/officeDocument/2006/relationships/hyperlink" Target="https://www.hach.com/p-qt-filters-pleated-pore-size-2-3-m-diameter-125-mm-100-pk-quantitative/189457" TargetMode="External"/><Relationship Id="rId32" Type="http://schemas.openxmlformats.org/officeDocument/2006/relationships/hyperlink" Target="https://lamotte.com/" TargetMode="External"/><Relationship Id="rId37" Type="http://schemas.openxmlformats.org/officeDocument/2006/relationships/hyperlink" Target="https://dabos.com/product/turbidity-tube-623-2050-tube-transparency-120-cm-RDFKSE45RzE2YWFiZzdEbjNuRzhXQT09?srsltid=AfmBOopRbg87B_3NvPSBil2xES09xBB2hfaInfIHFXFgt8lY6MxVtnZxlXY" TargetMode="External"/><Relationship Id="rId40" Type="http://schemas.openxmlformats.org/officeDocument/2006/relationships/hyperlink" Target="https://www.nascoeducation.com/windup-meter-tape-x0000sb33643.html" TargetMode="External"/><Relationship Id="rId45"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2Bgoggle&amp;qid=1744980202&amp;sprefix=safety%2Bgoggle%2Caps%2C209&amp;sr=8-2-spons&amp;sp_csd=d2lkZ2V0TmFtZT1zcF9hdGY&amp;th=1" TargetMode="External"/><Relationship Id="rId53" Type="http://schemas.openxmlformats.org/officeDocument/2006/relationships/hyperlink" Target="https://dabos.com/product/turbidity-tube-623-2050-tube-transparency-120-cm-RDFKSE45RzE2YWFiZzdEbjNuRzhXQT09?srsltid=AfmBOopRbg87B_3NvPSBil2xES09xBB2hfaInfIHFXFgt8lY6MxVtnZxlXY" TargetMode="External"/><Relationship Id="rId58" Type="http://schemas.openxmlformats.org/officeDocument/2006/relationships/hyperlink" Target="https://www.amazon.com/PULIVIA-Stopwatch-Digital-Swimming-Training/dp/B09QLB2M2Z/ref=sr_1_3?crid=2SRQHP099QDWR&amp;dib=eyJ2IjoiMSJ9.tm_2bsyW8JZQPMoVdC6kBl5_qR-eMe9XOp3wj694symK5ERnVfDXwpWfkee_ebxKtuccPD2cHBdXdAjaOczuWDjWwnKKS6Ke8rRScTup2j6k1N6mEQ_OS2xxwzVhzNDHGeJO-etj4M9NTn26CmVR5gErOFvWbUrOT9ho0wPgfn63kcIs3EYGvrUjSdosz1FV4mygh9QKRKGf_pzM2RJNeYKn4Jkyy72Q30Rtrs1ppVs.jTNYTwfzUCPz0Y7Ke_pQ7RY3cIq9SUHIr9jhVT04JgA&amp;dib_tag=se&amp;keywords=water%2Bresistant%2Bstopwatch&amp;qid=1759515922&amp;sprefix=water%2Bresistant%2Bstopwatch%2Caps%2C448&amp;sr=8-3&amp;th=1" TargetMode="External"/><Relationship Id="rId66"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5"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61" Type="http://schemas.openxmlformats.org/officeDocument/2006/relationships/hyperlink" Target="https://www.amazon.com/Economy-Bottle-Squeeze-Medical-Tattoo/dp/B00WTHLR18/ref=sr_1_11?crid=2F5EGY1UETIUU&amp;dib=eyJ2IjoiMSJ9.F5MC83GeVjFPLqozCF1WxXDihydfClPk4-3HqH9sqDA4PZxcbGm8xy45u41pCG5c7cdLbSCbBpA4k3S1QEi9NM4Fz2eNPcc7fMyyiD-YoDUlR4TldKSbaHI0x8xJO5-9EnS0qWa9mec0SVfMTKZlPxvCZB_7n9_D467DjZwNqhGFHR6qZaab6UzIGjIr9UJHiK2aAKQe311N0YcygYydnTne7SjOSi7ojPl0h0CAS_w.NiB4imhfM_Rz6r62-bFHAZ6Xi_hr3uwrT3sg5TmBZRA&amp;dib_tag=se&amp;keywords=squirt+bottle+lab&amp;qid=1744980087&amp;sprefix=squirt+bottle+la%2Caps%2C171&amp;sr=8-11" TargetMode="External"/><Relationship Id="rId19" Type="http://schemas.openxmlformats.org/officeDocument/2006/relationships/hyperlink" Target="https://www.heb.com/product-detail/hill-country-fare-distilled-water/1892805" TargetMode="External"/><Relationship Id="rId14" Type="http://schemas.openxmlformats.org/officeDocument/2006/relationships/hyperlink" Target="https://punchout.fishersci.com/shop/products/aluminum-yard-meter-stick/S81755" TargetMode="External"/><Relationship Id="rId22" Type="http://schemas.openxmlformats.org/officeDocument/2006/relationships/hyperlink" Target="https://www.hach.com/p-qt-filters-pleated-pore-size-2-3-m-diameter-125-mm-100-pk-quantitative/189457" TargetMode="External"/><Relationship Id="rId27" Type="http://schemas.openxmlformats.org/officeDocument/2006/relationships/hyperlink" Target="https://lamotte.com/" TargetMode="External"/><Relationship Id="rId30"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35" Type="http://schemas.openxmlformats.org/officeDocument/2006/relationships/hyperlink" Target="https://lamotte.com/" TargetMode="External"/><Relationship Id="rId43"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48" Type="http://schemas.openxmlformats.org/officeDocument/2006/relationships/hyperlink" Target="https://www.hach.com/p-glass-dropper-with-0-5-and-1-0-ml-marks-pk-5/1419705" TargetMode="External"/><Relationship Id="rId56"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64" Type="http://schemas.openxmlformats.org/officeDocument/2006/relationships/hyperlink" Target="https://www.nascoeducation.com/windup-meter-tape-x0000sb33643.html" TargetMode="External"/><Relationship Id="rId69" Type="http://schemas.openxmlformats.org/officeDocument/2006/relationships/hyperlink" Target="https://www.heb.com/product-detail/hill-country-fare-distilled-water/1892805" TargetMode="External"/><Relationship Id="rId8"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51" Type="http://schemas.openxmlformats.org/officeDocument/2006/relationships/hyperlink" Target="https://lamotte.com/" TargetMode="External"/><Relationship Id="rId3" Type="http://schemas.openxmlformats.org/officeDocument/2006/relationships/hyperlink" Target="https://lamotte.com/" TargetMode="External"/><Relationship Id="rId12" Type="http://schemas.openxmlformats.org/officeDocument/2006/relationships/hyperlink" Target="https://www.amazon.com/Kingl-Digital-Stopwatch-Timer-Interval/dp/B07RTXYFMN/ref=sr_1_4?crid=EIVJSRYWKFKL&amp;dib=eyJ2IjoiMSJ9.hghYvgwzYLPeJnXX8R7r18EQ7wcO7dOXMiV4PxHJ3hHLzKAWSX49AXLLfOH4LjU2jdAE0qUkhaB_Cj8bsp7hAXy1MzMox0VWlOElfecugihk71cM-AZJZTqT5Hrr68t3bFwcWjOZt4zj3znTmhevyX9U32eds9Fr_MTHfAdT4vp77tQAcjhxRoQEvIo059prUv943G-wR46Yt4dG71VzGx5JVr7QTJ21aMktfS5SkoA.jsSLdJ57iakhGs4je4oUbkQavjXMhBpOcrF4yhM1Ulg&amp;dib_tag=se&amp;keywords=water%2Bresistant%2Bstopwatch&amp;qid=1727119128&amp;sprefix=water%2Bresistant%2Bstopwatch%2Caps%2C78&amp;sr=8-4&amp;th=1" TargetMode="External"/><Relationship Id="rId17" Type="http://schemas.openxmlformats.org/officeDocument/2006/relationships/hyperlink" Target="https://www.amazon.com/WIFFLE-Ball-Regulation-Baseball-Size/dp/B003A53ER8/ref=sr_1_59?crid=2FS3C1HW4KAVP&amp;dib=eyJ2IjoiMSJ9.E4CjV8z30tE3TT90l1KTAT9l_5v1KdPKYreQpxVeCT7V8gpHc54zuY58UC7aXmCY9iSDNEbWLW-dq-ryti1YgFvPA0XbBinC4wCRhtaXMt9-A6NBVRtTJiE-MPLpPiMSx6k4SZXY9FzR6xGvHBN1yz1mhIzcLi9_gf9Y6IGZGbsLAF-X7Vow5adUTXA6BuXTbFxu18iZ3WTS46qfDZ9rpyuC6aLT3rq_2O_0WvXrJcr4R51v7UKsYLibFEcbC33oymWyBlwcQKV_lcYxpgAZA6oOEHBhk_b2zozxcyahqNc.9pXtzjuGuy9_RohCTbwffowblEanjm_n5v4CYTabXlU&amp;dib_tag=se&amp;keywords=wiffle+ball&amp;qid=1744982966&amp;sprefix=wiffle+ball%2Caps%2C217&amp;sr=8-59" TargetMode="External"/><Relationship Id="rId25" Type="http://schemas.openxmlformats.org/officeDocument/2006/relationships/hyperlink" Target="https://lamotte.com/" TargetMode="External"/><Relationship Id="rId33" Type="http://schemas.openxmlformats.org/officeDocument/2006/relationships/hyperlink" Target="https://lamotte.com/" TargetMode="External"/><Relationship Id="rId38" Type="http://schemas.openxmlformats.org/officeDocument/2006/relationships/hyperlink" Target="https://www.amazon.com/WIFFLE-Ball-Regulation-Baseball-Size/dp/B003A53ER8/ref=sr_1_59?crid=2FS3C1HW4KAVP&amp;dib=eyJ2IjoiMSJ9.E4CjV8z30tE3TT90l1KTAT9l_5v1KdPKYreQpxVeCT7V8gpHc54zuY58UC7aXmCY9iSDNEbWLW-dq-ryti1YgFvPA0XbBinC4wCRhtaXMt9-A6NBVRtTJiE-MPLpPiMSx6k4SZXY9FzR6xGvHBN1yz1mhIzcLi9_gf9Y6IGZGbsLAF-X7Vow5adUTXA6BuXTbFxu18iZ3WTS46qfDZ9rpyuC6aLT3rq_2O_0WvXrJcr4R51v7UKsYLibFEcbC33oymWyBlwcQKV_lcYxpgAZA6oOEHBhk_b2zozxcyahqNc.9pXtzjuGuy9_RohCTbwffowblEanjm_n5v4CYTabXlU&amp;dib_tag=se&amp;keywords=wiffle+ball&amp;qid=1744982966&amp;sprefix=wiffle+ball%2Caps%2C217&amp;sr=8-59" TargetMode="External"/><Relationship Id="rId46" Type="http://schemas.openxmlformats.org/officeDocument/2006/relationships/hyperlink" Target="https://lamotte.com/" TargetMode="External"/><Relationship Id="rId59" Type="http://schemas.openxmlformats.org/officeDocument/2006/relationships/hyperlink" Target="https://www.lowes.com/pd/Johnson-Level-3-ft-Metal-Yardstick/1000085721" TargetMode="External"/><Relationship Id="rId67" Type="http://schemas.openxmlformats.org/officeDocument/2006/relationships/hyperlink" Target="https://www.amazon.com/PULIVIA-Stopwatch-Digital-Swimming-Training/dp/B09QLB2M2Z/ref=sr_1_3?crid=2SRQHP099QDWR&amp;dib=eyJ2IjoiMSJ9.tm_2bsyW8JZQPMoVdC6kBl5_qR-eMe9XOp3wj694symK5ERnVfDXwpWfkee_ebxKtuccPD2cHBdXdAjaOczuWDjWwnKKS6Ke8rRScTup2j6k1N6mEQ_OS2xxwzVhzNDHGeJO-etj4M9NTn26CmVR5gErOFvWbUrOT9ho0wPgfn63kcIs3EYGvrUjSdosz1FV4mygh9QKRKGf_pzM2RJNeYKn4Jkyy72Q30Rtrs1ppVs.jTNYTwfzUCPz0Y7Ke_pQ7RY3cIq9SUHIr9jhVT04JgA&amp;dib_tag=se&amp;keywords=water%2Bresistant%2Bstopwatch&amp;qid=1759515922&amp;sprefix=water%2Bresistant%2Bstopwatch%2Caps%2C448&amp;sr=8-3&amp;th=1" TargetMode="External"/><Relationship Id="rId20" Type="http://schemas.openxmlformats.org/officeDocument/2006/relationships/hyperlink" Target="https://www.heb.com/product-detail/hill-country-fare-distilled-water/1892805" TargetMode="External"/><Relationship Id="rId41" Type="http://schemas.openxmlformats.org/officeDocument/2006/relationships/hyperlink" Target="https://www.lowes.com/pd/Johnson-Level-3-ft-Metal-Yardstick/1000085721" TargetMode="External"/><Relationship Id="rId54" Type="http://schemas.openxmlformats.org/officeDocument/2006/relationships/hyperlink" Target="https://www.fishersci.com/shop/products/turbidity-tube-3/S38986?srsltid=AfmBOoqrK90dUHNQyW5NlgYe5vPRWiqFceqtjy69q0F6q1z9C9SIsf6Cig4" TargetMode="External"/><Relationship Id="rId62"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70" Type="http://schemas.openxmlformats.org/officeDocument/2006/relationships/vmlDrawing" Target="../drawings/vmlDrawing5.vml"/><Relationship Id="rId1" Type="http://schemas.openxmlformats.org/officeDocument/2006/relationships/hyperlink" Target="https://lamotte.com/" TargetMode="External"/><Relationship Id="rId6" Type="http://schemas.openxmlformats.org/officeDocument/2006/relationships/hyperlink" Target="https://www.amazon.com/United-ScientificTM-33310EA-Polypropylene-Laboratories/dp/B07DHWGFJM/ref=sr_1_3?crid=2Y3RTSLXFRQ3H&amp;dib=eyJ2IjoiMSJ9.zCW0_Aj_uETDND7g5HLhZh6grJ9OYPw4KBxssr4dzX2r8D6Y6KZuVpX5IcDmqgS4tTGkM6Nou3T5EM0LyTlmLPkWVFV800hgdsTxhgQrls3W-i9fjrK5zG8WXf99us55f5iZpJKkVyrEFh7cGzm28Po6Ksy1Fi-5TNd20aFkUEIHm4cxkRdG5Pjn2eJueLTF9Ejod5JUzSOquAVJcTaZ8TaoHHcQPypxRTSZhQFdFXM.urTSgrHKz9LYrgthTzDaN_UDWabuV99v_4anYLAgRKc&amp;dib_tag=se&amp;keywords=nalgene%2Blab%2Bbottle&amp;qid=1744980132&amp;sprefix=nalgene%2Blab%2Bbottle%2Caps%2C170&amp;sr=8-3&amp;th=1" TargetMode="External"/><Relationship Id="rId15"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23" Type="http://schemas.openxmlformats.org/officeDocument/2006/relationships/hyperlink" Target="https://www.hach.com/p-filtration-aid-solution-29-ml-db/104633" TargetMode="External"/><Relationship Id="rId28" Type="http://schemas.openxmlformats.org/officeDocument/2006/relationships/hyperlink" Target="https://lamotte.com/" TargetMode="External"/><Relationship Id="rId36" Type="http://schemas.openxmlformats.org/officeDocument/2006/relationships/hyperlink" Target="https://www.fishersci.com/shop/products/turbidity-tube-3/S38986?srsltid=AfmBOoqrK90dUHNQyW5NlgYe5vPRWiqFceqtjy69q0F6q1z9C9SIsf6Cig4" TargetMode="External"/><Relationship Id="rId49" Type="http://schemas.openxmlformats.org/officeDocument/2006/relationships/hyperlink" Target="https://www.hach.com/p-replacement-bottle-cap/2166706" TargetMode="External"/><Relationship Id="rId57" Type="http://schemas.openxmlformats.org/officeDocument/2006/relationships/hyperlink" Target="https://www.amazon.com/Economy-Bottle-Squeeze-Medical-Tattoo/dp/B00WTHLR0E/ref=sr_1_4?crid=10OATRAH02N7H&amp;dib=eyJ2IjoiMSJ9.lHeOla95UMJV16zpNQrb6wyYDWcF9fn6Pej0tPRoSl5dQaw-6dXtLC7pCkFKwYvjBh8IQCJhDAD8XniUQ_y_jw1pzJAUyHlVbiyeSkFgmcBBH2DEdpnOUravXGICFMhZpd7Or-V2RMeTUWVxb1Dm6LvnUC3Dq7vB4zJb0DZqycfWLYC2ubGvtJtggrWR2yxEqw2qaoqwSDDIBDaSkvTaE5-3F6ZvD3lsUSzXpKuqWSQ.XcA1KsM6i4COL56GL8hUaRN-GcxqDV7JK59u5u5F5Q4&amp;dib_tag=se&amp;keywords=16%2Boz%2Bwash%2Bbottle&amp;qid=1759517586&amp;sprefix=16%2Boz%2Bwash%2Bbott%2Caps%2C197&amp;sr=8-4&amp;th=1" TargetMode="External"/><Relationship Id="rId10"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31" Type="http://schemas.openxmlformats.org/officeDocument/2006/relationships/hyperlink" Target="https://www.amazon.com/Supmedic-Nitrile-Disposable-Powder-Free-Latex-Free/dp/B0C9S5PMSD/ref=sr_1_3?crid=2CWQIWQCIUTF6&amp;dib=eyJ2IjoiMSJ9.EDI16xD68SjDAXkavuGCfZX56vqVXeoUmF3_lXDiUR-IKdu7tMhge-toFG17MRabdHrhlB5KyY6CnVeWnR1SZfgLQR1fHgHG07vjMkKXLFouXtgbWDmKx-Asp9m4pLmR3WAoyU-MVJqVdquzAr5V6C_RtWMmF721-HUXtbd3QKR8beFZg-SIXzXzBLzsq5FWEL-TWqtpIYdNs4PxCwmGrvwfX89VfqjQvE1ixU02dV4.-lMRq1oLp4xYqNS85JCPczfLexDoeD-beDJy5KhnTz4&amp;dib_tag=se&amp;keywords=powder+free+gloves&amp;qid=1744980234&amp;sprefix=powder+free+g%2Caps%2C176&amp;sr=8-3" TargetMode="External"/><Relationship Id="rId44" Type="http://schemas.openxmlformats.org/officeDocument/2006/relationships/hyperlink" Target="https://www.heb.com/product-detail/hill-country-fare-distilled-water/1892805" TargetMode="External"/><Relationship Id="rId52" Type="http://schemas.openxmlformats.org/officeDocument/2006/relationships/hyperlink" Target="https://dabos.com/product/turbidity-tube-623-2050-tube-transparency-120-cm-RDFKSE45RzE2YWFiZzdEbjNuRzhXQT09?srsltid=AfmBOopRbg87B_3NvPSBil2xES09xBB2hfaInfIHFXFgt8lY6MxVtnZxlXY" TargetMode="External"/><Relationship Id="rId60"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65" Type="http://schemas.openxmlformats.org/officeDocument/2006/relationships/hyperlink" Target="https://punchout.fishersci.com/shop/products/aluminum-yard-meter-stick/S81755" TargetMode="External"/><Relationship Id="rId4" Type="http://schemas.openxmlformats.org/officeDocument/2006/relationships/hyperlink" Target="https://www.amazon.com/Leaktite-744456-1-Gallon-Plastic-Container/dp/B000VBC4UM/ref=sr_1_6?crid=36PD25K9PAPVC&amp;dib=eyJ2IjoiMSJ9.8cd8wp6T8tYnAxzBnpzCosfbhmNOQs5P8gHFjP-Ey1MApG5srkV07uHlKxSfh62LjXa7tu7cMqgyLbs5j8GPuVZcXqIS5sBnUfubIemsGC0L-5oMWQfqjMdxaUH9WrHJMzy7xQQdb5zSAbP37RtKe4RxzwxZli9MzpApzdIlLB_a1NP2BtaGv_Oes0U23vu8Uhz4v8ftw0FaLPqB9HWvUr9ffCTjJVfX2TDr4q56uN_a9112_rMCaY0H9i1OUVg9bmq-hvqUBSrrE5UmTfuHlNB1LYpCX3JnjnCIk0LJ9bo.9Fn83qIj8cYCJ4LTp-Dk1dtdCqQv7BIRkQ7HKdUmI30&amp;dib_tag=se&amp;keywords=one+gallon+bucket&amp;qid=1744980061&amp;sprefix=one+gallon+bucket%2Caps%2C171&amp;sr=8-6" TargetMode="External"/><Relationship Id="rId9" Type="http://schemas.openxmlformats.org/officeDocument/2006/relationships/hyperlink" Target="https://www.forestry-suppliers.com/p/77291/50730/transparency-turbidity-tube-secchi-disk?gad_source=1&amp;gbraid=0AAAAAD_jPov9iKSEnh8tztoRkR2-liULw&amp;gclid=CjwKCAjw8IfABhBXEiwAxRHlsFx0JnYwjc8e57AIabLjSfKkxjDJPeQ8rpOz5K_THwZSFYzXyyxNbRoC9xEQAvD_BwE" TargetMode="External"/><Relationship Id="rId13" Type="http://schemas.openxmlformats.org/officeDocument/2006/relationships/hyperlink" Target="https://www.nascoeducation.com/windup-meter-tape-x0000sb33643.html" TargetMode="External"/><Relationship Id="rId18" Type="http://schemas.openxmlformats.org/officeDocument/2006/relationships/hyperlink" Target="https://www.amazon.com/SUPERMORE-Protective-Wide-Vision-Adjustable-Lightweight/dp/B07VF3C2CW/ref=sr_1_2_sspa?crid=2N8V8XYG1CBG5&amp;dib=eyJ2IjoiMSJ9.pJrpx5kvIOwwehTUFS1qBIp28CZNgG6TdgHyYH09Oq05gHhtOW59dL-rMMr3fg4kx0InQ95JR5zxcozMG_Qx6MRkhRNgYJQ5N0ObY1y49RN6eP4i1mvdxEodj-sp1PesAQJEihxYA0pue5JeGuXJCI7WLIoX8odiSUEmUKZXpoDlc9sx6glMmw4fue2_4YTMMVt8Q2LOihJASnABW6g7VP9ny7zWxSoKeSSD63Da0CAhtp2YxJR1yNGo4P9INaQffgaQnST8S_D98D1Uj8LlqXI-DOfCCGLr0z2gJRKC4fk.a1j8sZtWeLTWP5VFR1QtJYJz59gfL5imiHtZYGgAGu8&amp;dib_tag=se&amp;keywords=safety+goggle&amp;qid=1744980202&amp;sprefix=safety+goggle%2Caps%2C209&amp;sr=8-2-spons&amp;sp_csd=d2lkZ2V0TmFtZT1zcF9hdGY&amp;psc=1" TargetMode="External"/><Relationship Id="rId39" Type="http://schemas.openxmlformats.org/officeDocument/2006/relationships/hyperlink" Target="https://www.amazon.com/PULIVIA-Stopwatch-Digital-Swimming-Training/dp/B09QLB2M2Z/ref=sr_1_3?crid=2SRQHP099QDWR&amp;dib=eyJ2IjoiMSJ9.tm_2bsyW8JZQPMoVdC6kBl5_qR-eMe9XOp3wj694symK5ERnVfDXwpWfkee_ebxKtuccPD2cHBdXdAjaOczuWDjWwnKKS6Ke8rRScTup2j6k1N6mEQ_OS2xxwzVhzNDHGeJO-etj4M9NTn26CmVR5gErOFvWbUrOT9ho0wPgfn63kcIs3EYGvrUjSdosz1FV4mygh9QKRKGf_pzM2RJNeYKn4Jkyy72Q30Rtrs1ppVs.jTNYTwfzUCPz0Y7Ke_pQ7RY3cIq9SUHIr9jhVT04JgA&amp;dib_tag=se&amp;keywords=water%2Bresistant%2Bstopwatch&amp;qid=1759515922&amp;sprefix=water%2Bresistant%2Bstopwatch%2Caps%2C448&amp;sr=8-3&amp;th=1" TargetMode="External"/><Relationship Id="rId34" Type="http://schemas.openxmlformats.org/officeDocument/2006/relationships/hyperlink" Target="https://lamotte.com/" TargetMode="External"/><Relationship Id="rId50" Type="http://schemas.openxmlformats.org/officeDocument/2006/relationships/hyperlink" Target="https://www.hach.com/p-glass-mixing-dispensing-bottle-pk-6/232706" TargetMode="External"/><Relationship Id="rId55" Type="http://schemas.openxmlformats.org/officeDocument/2006/relationships/hyperlink" Target="https://www.fishersci.com/shop/products/turbidity-tube-3/S38986?srsltid=AfmBOoqrK90dUHNQyW5NlgYe5vPRWiqFceqtjy69q0F6q1z9C9SIsf6Cig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0009-F596-4FA9-9338-CB03A6F66D78}">
  <dimension ref="A1:M83"/>
  <sheetViews>
    <sheetView tabSelected="1" workbookViewId="0">
      <selection sqref="A1:M1"/>
    </sheetView>
  </sheetViews>
  <sheetFormatPr defaultColWidth="8.88671875" defaultRowHeight="14.4" x14ac:dyDescent="0.3"/>
  <cols>
    <col min="1" max="10" width="8.88671875" style="1"/>
    <col min="11" max="11" width="15.44140625" style="1" customWidth="1"/>
    <col min="12" max="16384" width="8.88671875" style="1"/>
  </cols>
  <sheetData>
    <row r="1" spans="1:13" x14ac:dyDescent="0.3">
      <c r="A1" s="73" t="s">
        <v>59</v>
      </c>
      <c r="B1" s="73"/>
      <c r="C1" s="73"/>
      <c r="D1" s="73"/>
      <c r="E1" s="73"/>
      <c r="F1" s="73"/>
      <c r="G1" s="73"/>
      <c r="H1" s="73"/>
      <c r="I1" s="73"/>
      <c r="J1" s="73"/>
      <c r="K1" s="73"/>
      <c r="L1" s="73"/>
      <c r="M1" s="73"/>
    </row>
    <row r="2" spans="1:13" ht="15" customHeight="1" x14ac:dyDescent="0.3">
      <c r="A2" s="75" t="s">
        <v>83</v>
      </c>
      <c r="B2" s="75"/>
      <c r="C2" s="75"/>
      <c r="D2" s="75"/>
      <c r="E2" s="75"/>
      <c r="F2" s="75"/>
      <c r="G2" s="75"/>
      <c r="H2" s="75"/>
      <c r="I2" s="75"/>
      <c r="J2" s="75"/>
      <c r="K2" s="75"/>
      <c r="L2" s="75"/>
      <c r="M2" s="75"/>
    </row>
    <row r="3" spans="1:13" x14ac:dyDescent="0.3">
      <c r="A3" s="75"/>
      <c r="B3" s="75"/>
      <c r="C3" s="75"/>
      <c r="D3" s="75"/>
      <c r="E3" s="75"/>
      <c r="F3" s="75"/>
      <c r="G3" s="75"/>
      <c r="H3" s="75"/>
      <c r="I3" s="75"/>
      <c r="J3" s="75"/>
      <c r="K3" s="75"/>
      <c r="L3" s="75"/>
      <c r="M3" s="75"/>
    </row>
    <row r="4" spans="1:13" x14ac:dyDescent="0.3">
      <c r="A4" s="72"/>
      <c r="B4" s="72"/>
      <c r="C4" s="72"/>
      <c r="D4" s="72"/>
      <c r="E4" s="72"/>
      <c r="F4" s="72"/>
      <c r="G4" s="72"/>
      <c r="H4" s="72"/>
      <c r="I4" s="72"/>
      <c r="J4" s="72"/>
      <c r="K4" s="72"/>
      <c r="L4" s="72"/>
      <c r="M4" s="72"/>
    </row>
    <row r="5" spans="1:13" x14ac:dyDescent="0.3">
      <c r="A5" s="73" t="s">
        <v>60</v>
      </c>
      <c r="B5" s="73"/>
      <c r="C5" s="73"/>
      <c r="D5" s="73"/>
      <c r="E5" s="73"/>
      <c r="F5" s="73"/>
      <c r="G5" s="73"/>
      <c r="H5" s="73"/>
      <c r="I5" s="73"/>
      <c r="J5" s="73"/>
      <c r="K5" s="73"/>
      <c r="L5" s="73"/>
      <c r="M5" s="73"/>
    </row>
    <row r="6" spans="1:13" x14ac:dyDescent="0.3">
      <c r="A6" s="79" t="s">
        <v>264</v>
      </c>
      <c r="B6" s="79"/>
      <c r="C6" s="79"/>
      <c r="D6" s="79"/>
      <c r="E6" s="79"/>
      <c r="F6" s="79"/>
      <c r="G6" s="79"/>
      <c r="H6" s="79"/>
      <c r="I6" s="79"/>
      <c r="J6" s="79"/>
      <c r="K6" s="79"/>
      <c r="L6" s="79"/>
      <c r="M6" s="79"/>
    </row>
    <row r="7" spans="1:13" x14ac:dyDescent="0.3">
      <c r="A7" s="79"/>
      <c r="B7" s="79"/>
      <c r="C7" s="79"/>
      <c r="D7" s="79"/>
      <c r="E7" s="79"/>
      <c r="F7" s="79"/>
      <c r="G7" s="79"/>
      <c r="H7" s="79"/>
      <c r="I7" s="79"/>
      <c r="J7" s="79"/>
      <c r="K7" s="79"/>
      <c r="L7" s="79"/>
      <c r="M7" s="79"/>
    </row>
    <row r="8" spans="1:13" x14ac:dyDescent="0.3">
      <c r="A8" s="69" t="s">
        <v>126</v>
      </c>
      <c r="B8" s="69"/>
      <c r="C8" s="69"/>
      <c r="D8" s="69"/>
      <c r="E8" s="69"/>
      <c r="F8" s="69"/>
      <c r="G8" s="69"/>
      <c r="H8" s="69"/>
      <c r="I8" s="69"/>
      <c r="J8" s="69"/>
      <c r="K8" s="69"/>
      <c r="L8" s="69"/>
      <c r="M8" s="69"/>
    </row>
    <row r="9" spans="1:13" ht="14.4" customHeight="1" x14ac:dyDescent="0.3">
      <c r="A9" s="77" t="s">
        <v>262</v>
      </c>
      <c r="B9" s="77"/>
      <c r="C9" s="77"/>
      <c r="D9" s="77"/>
      <c r="E9" s="77"/>
      <c r="F9" s="77"/>
      <c r="G9" s="77"/>
      <c r="H9" s="77"/>
      <c r="I9" s="77"/>
      <c r="J9" s="77"/>
      <c r="K9" s="77"/>
      <c r="L9" s="77"/>
      <c r="M9" s="77"/>
    </row>
    <row r="10" spans="1:13" x14ac:dyDescent="0.3">
      <c r="A10" s="77"/>
      <c r="B10" s="77"/>
      <c r="C10" s="77"/>
      <c r="D10" s="77"/>
      <c r="E10" s="77"/>
      <c r="F10" s="77"/>
      <c r="G10" s="77"/>
      <c r="H10" s="77"/>
      <c r="I10" s="77"/>
      <c r="J10" s="77"/>
      <c r="K10" s="77"/>
      <c r="L10" s="77"/>
      <c r="M10" s="77"/>
    </row>
    <row r="11" spans="1:13" x14ac:dyDescent="0.3">
      <c r="A11" s="77"/>
      <c r="B11" s="77"/>
      <c r="C11" s="77"/>
      <c r="D11" s="77"/>
      <c r="E11" s="77"/>
      <c r="F11" s="77"/>
      <c r="G11" s="77"/>
      <c r="H11" s="77"/>
      <c r="I11" s="77"/>
      <c r="J11" s="77"/>
      <c r="K11" s="77"/>
      <c r="L11" s="77"/>
      <c r="M11" s="77"/>
    </row>
    <row r="12" spans="1:13" x14ac:dyDescent="0.3">
      <c r="A12" s="78"/>
      <c r="B12" s="78"/>
      <c r="C12" s="78"/>
      <c r="D12" s="78"/>
      <c r="E12" s="78"/>
      <c r="F12" s="78"/>
      <c r="G12" s="78"/>
      <c r="H12" s="78"/>
      <c r="I12" s="78"/>
      <c r="J12" s="78"/>
      <c r="K12" s="78"/>
      <c r="L12" s="78"/>
      <c r="M12" s="78"/>
    </row>
    <row r="13" spans="1:13" x14ac:dyDescent="0.3">
      <c r="A13" s="69" t="s">
        <v>140</v>
      </c>
      <c r="B13" s="69"/>
      <c r="C13" s="69"/>
      <c r="D13" s="69"/>
      <c r="E13" s="69"/>
      <c r="F13" s="69"/>
      <c r="G13" s="69"/>
      <c r="H13" s="69"/>
      <c r="I13" s="69"/>
      <c r="J13" s="69"/>
      <c r="K13" s="69"/>
      <c r="L13" s="69"/>
      <c r="M13" s="69"/>
    </row>
    <row r="14" spans="1:13" x14ac:dyDescent="0.3">
      <c r="A14" s="77" t="s">
        <v>206</v>
      </c>
      <c r="B14" s="77"/>
      <c r="C14" s="77"/>
      <c r="D14" s="77"/>
      <c r="E14" s="77"/>
      <c r="F14" s="77"/>
      <c r="G14" s="77"/>
      <c r="H14" s="77"/>
      <c r="I14" s="77"/>
      <c r="J14" s="77"/>
      <c r="K14" s="77"/>
      <c r="L14" s="77"/>
      <c r="M14" s="77"/>
    </row>
    <row r="15" spans="1:13" x14ac:dyDescent="0.3">
      <c r="A15" s="77"/>
      <c r="B15" s="77"/>
      <c r="C15" s="77"/>
      <c r="D15" s="77"/>
      <c r="E15" s="77"/>
      <c r="F15" s="77"/>
      <c r="G15" s="77"/>
      <c r="H15" s="77"/>
      <c r="I15" s="77"/>
      <c r="J15" s="77"/>
      <c r="K15" s="77"/>
      <c r="L15" s="77"/>
      <c r="M15" s="77"/>
    </row>
    <row r="16" spans="1:13" ht="14.4" customHeight="1" x14ac:dyDescent="0.3">
      <c r="A16" s="75" t="s">
        <v>201</v>
      </c>
      <c r="B16" s="75"/>
      <c r="C16" s="75"/>
      <c r="D16" s="75"/>
      <c r="E16" s="75"/>
      <c r="F16" s="75"/>
      <c r="G16" s="75"/>
      <c r="H16" s="75"/>
      <c r="I16" s="75"/>
      <c r="J16" s="75"/>
      <c r="K16" s="75"/>
      <c r="L16" s="75"/>
      <c r="M16" s="75"/>
    </row>
    <row r="17" spans="1:13" x14ac:dyDescent="0.3">
      <c r="A17" s="75"/>
      <c r="B17" s="75"/>
      <c r="C17" s="75"/>
      <c r="D17" s="75"/>
      <c r="E17" s="75"/>
      <c r="F17" s="75"/>
      <c r="G17" s="75"/>
      <c r="H17" s="75"/>
      <c r="I17" s="75"/>
      <c r="J17" s="75"/>
      <c r="K17" s="75"/>
      <c r="L17" s="75"/>
      <c r="M17" s="75"/>
    </row>
    <row r="18" spans="1:13" x14ac:dyDescent="0.3">
      <c r="A18" s="75"/>
      <c r="B18" s="75"/>
      <c r="C18" s="75"/>
      <c r="D18" s="75"/>
      <c r="E18" s="75"/>
      <c r="F18" s="75"/>
      <c r="G18" s="75"/>
      <c r="H18" s="75"/>
      <c r="I18" s="75"/>
      <c r="J18" s="75"/>
      <c r="K18" s="75"/>
      <c r="L18" s="75"/>
      <c r="M18" s="75"/>
    </row>
    <row r="19" spans="1:13" x14ac:dyDescent="0.3">
      <c r="A19" s="76" t="s">
        <v>132</v>
      </c>
      <c r="B19" s="76"/>
      <c r="C19" s="76"/>
      <c r="D19" s="76"/>
      <c r="E19" s="76"/>
      <c r="F19" s="76"/>
      <c r="G19" s="76"/>
      <c r="H19" s="76"/>
      <c r="I19" s="76"/>
      <c r="J19" s="76"/>
      <c r="K19" s="76"/>
      <c r="L19" s="76"/>
      <c r="M19" s="76"/>
    </row>
    <row r="20" spans="1:13" x14ac:dyDescent="0.3">
      <c r="A20" s="71"/>
      <c r="B20" s="71"/>
      <c r="C20" s="71"/>
      <c r="D20" s="71"/>
      <c r="E20" s="71"/>
      <c r="F20" s="71"/>
      <c r="G20" s="71"/>
      <c r="H20" s="71"/>
      <c r="I20" s="71"/>
      <c r="J20" s="71"/>
      <c r="K20" s="71"/>
      <c r="L20" s="71"/>
      <c r="M20" s="71"/>
    </row>
    <row r="21" spans="1:13" x14ac:dyDescent="0.3">
      <c r="A21" s="69" t="s">
        <v>271</v>
      </c>
      <c r="B21" s="69"/>
      <c r="C21" s="69"/>
      <c r="D21" s="69"/>
      <c r="E21" s="69"/>
      <c r="F21" s="69"/>
      <c r="G21" s="69"/>
      <c r="H21" s="69"/>
      <c r="I21" s="69"/>
      <c r="J21" s="69"/>
      <c r="K21" s="69"/>
      <c r="L21" s="69"/>
      <c r="M21" s="69"/>
    </row>
    <row r="22" spans="1:13" ht="14.4" customHeight="1" x14ac:dyDescent="0.3">
      <c r="A22" s="75" t="s">
        <v>202</v>
      </c>
      <c r="B22" s="75"/>
      <c r="C22" s="75"/>
      <c r="D22" s="75"/>
      <c r="E22" s="75"/>
      <c r="F22" s="75"/>
      <c r="G22" s="75"/>
      <c r="H22" s="75"/>
      <c r="I22" s="75"/>
      <c r="J22" s="75"/>
      <c r="K22" s="75"/>
      <c r="L22" s="75"/>
      <c r="M22" s="75"/>
    </row>
    <row r="23" spans="1:13" x14ac:dyDescent="0.3">
      <c r="A23" s="75"/>
      <c r="B23" s="75"/>
      <c r="C23" s="75"/>
      <c r="D23" s="75"/>
      <c r="E23" s="75"/>
      <c r="F23" s="75"/>
      <c r="G23" s="75"/>
      <c r="H23" s="75"/>
      <c r="I23" s="75"/>
      <c r="J23" s="75"/>
      <c r="K23" s="75"/>
      <c r="L23" s="75"/>
      <c r="M23" s="75"/>
    </row>
    <row r="24" spans="1:13" x14ac:dyDescent="0.3">
      <c r="A24" s="75"/>
      <c r="B24" s="75"/>
      <c r="C24" s="75"/>
      <c r="D24" s="75"/>
      <c r="E24" s="75"/>
      <c r="F24" s="75"/>
      <c r="G24" s="75"/>
      <c r="H24" s="75"/>
      <c r="I24" s="75"/>
      <c r="J24" s="75"/>
      <c r="K24" s="75"/>
      <c r="L24" s="75"/>
      <c r="M24" s="75"/>
    </row>
    <row r="25" spans="1:13" x14ac:dyDescent="0.3">
      <c r="A25" s="75"/>
      <c r="B25" s="75"/>
      <c r="C25" s="75"/>
      <c r="D25" s="75"/>
      <c r="E25" s="75"/>
      <c r="F25" s="75"/>
      <c r="G25" s="75"/>
      <c r="H25" s="75"/>
      <c r="I25" s="75"/>
      <c r="J25" s="75"/>
      <c r="K25" s="75"/>
      <c r="L25" s="75"/>
      <c r="M25" s="75"/>
    </row>
    <row r="26" spans="1:13" x14ac:dyDescent="0.3">
      <c r="A26" s="75"/>
      <c r="B26" s="75"/>
      <c r="C26" s="75"/>
      <c r="D26" s="75"/>
      <c r="E26" s="75"/>
      <c r="F26" s="75"/>
      <c r="G26" s="75"/>
      <c r="H26" s="75"/>
      <c r="I26" s="75"/>
      <c r="J26" s="75"/>
      <c r="K26" s="75"/>
      <c r="L26" s="75"/>
      <c r="M26" s="75"/>
    </row>
    <row r="27" spans="1:13" x14ac:dyDescent="0.3">
      <c r="A27" s="75"/>
      <c r="B27" s="75"/>
      <c r="C27" s="75"/>
      <c r="D27" s="75"/>
      <c r="E27" s="75"/>
      <c r="F27" s="75"/>
      <c r="G27" s="75"/>
      <c r="H27" s="75"/>
      <c r="I27" s="75"/>
      <c r="J27" s="75"/>
      <c r="K27" s="75"/>
      <c r="L27" s="75"/>
      <c r="M27" s="75"/>
    </row>
    <row r="28" spans="1:13" ht="14.4" customHeight="1" x14ac:dyDescent="0.3">
      <c r="A28" s="75" t="s">
        <v>136</v>
      </c>
      <c r="B28" s="75"/>
      <c r="C28" s="75"/>
      <c r="D28" s="75"/>
      <c r="E28" s="75"/>
      <c r="F28" s="75"/>
      <c r="G28" s="75"/>
      <c r="H28" s="75"/>
      <c r="I28" s="75"/>
      <c r="J28" s="75"/>
      <c r="K28" s="75"/>
      <c r="L28" s="75"/>
      <c r="M28" s="75"/>
    </row>
    <row r="29" spans="1:13" ht="14.4" customHeight="1" x14ac:dyDescent="0.3">
      <c r="A29" s="72"/>
      <c r="B29" s="72"/>
      <c r="C29" s="72"/>
      <c r="D29" s="72"/>
      <c r="E29" s="72"/>
      <c r="F29" s="72"/>
      <c r="G29" s="72"/>
      <c r="H29" s="72"/>
      <c r="I29" s="72"/>
      <c r="J29" s="72"/>
      <c r="K29" s="72"/>
      <c r="L29" s="72"/>
      <c r="M29" s="72"/>
    </row>
    <row r="30" spans="1:13" ht="14.4" customHeight="1" x14ac:dyDescent="0.3">
      <c r="A30" s="80" t="s">
        <v>285</v>
      </c>
      <c r="B30" s="80"/>
      <c r="C30" s="80"/>
      <c r="D30" s="80"/>
      <c r="E30" s="80"/>
      <c r="F30" s="80"/>
      <c r="G30" s="80"/>
      <c r="H30" s="80"/>
      <c r="I30" s="80"/>
      <c r="J30" s="80"/>
      <c r="K30" s="80"/>
      <c r="L30" s="80"/>
      <c r="M30" s="80"/>
    </row>
    <row r="31" spans="1:13" x14ac:dyDescent="0.3">
      <c r="A31" s="77" t="s">
        <v>135</v>
      </c>
      <c r="B31" s="77"/>
      <c r="C31" s="77"/>
      <c r="D31" s="77"/>
      <c r="E31" s="77"/>
      <c r="F31" s="77"/>
      <c r="G31" s="77"/>
      <c r="H31" s="77"/>
      <c r="I31" s="77"/>
      <c r="J31" s="77"/>
      <c r="K31" s="77"/>
      <c r="L31" s="77"/>
      <c r="M31" s="77"/>
    </row>
    <row r="32" spans="1:13" x14ac:dyDescent="0.3">
      <c r="A32" s="77"/>
      <c r="B32" s="77"/>
      <c r="C32" s="77"/>
      <c r="D32" s="77"/>
      <c r="E32" s="77"/>
      <c r="F32" s="77"/>
      <c r="G32" s="77"/>
      <c r="H32" s="77"/>
      <c r="I32" s="77"/>
      <c r="J32" s="77"/>
      <c r="K32" s="77"/>
      <c r="L32" s="77"/>
      <c r="M32" s="77"/>
    </row>
    <row r="33" spans="1:13" ht="14.4" customHeight="1" x14ac:dyDescent="0.3">
      <c r="A33" s="70" t="s">
        <v>270</v>
      </c>
      <c r="B33" s="70"/>
      <c r="C33" s="70"/>
      <c r="D33" s="70"/>
      <c r="E33" s="70"/>
      <c r="F33" s="70"/>
      <c r="G33" s="70"/>
      <c r="H33" s="70"/>
      <c r="I33" s="70"/>
      <c r="J33" s="70"/>
      <c r="K33" s="70"/>
      <c r="L33" s="70"/>
      <c r="M33" s="70"/>
    </row>
    <row r="34" spans="1:13" ht="14.4" customHeight="1" x14ac:dyDescent="0.3">
      <c r="A34" s="70"/>
      <c r="B34" s="70"/>
      <c r="C34" s="70"/>
      <c r="D34" s="70"/>
      <c r="E34" s="70"/>
      <c r="F34" s="70"/>
      <c r="G34" s="70"/>
      <c r="H34" s="70"/>
      <c r="I34" s="70"/>
      <c r="J34" s="70"/>
      <c r="K34" s="70"/>
      <c r="L34" s="70"/>
      <c r="M34" s="70"/>
    </row>
    <row r="35" spans="1:13" ht="14.4" customHeight="1" x14ac:dyDescent="0.3">
      <c r="A35" s="70"/>
      <c r="B35" s="70"/>
      <c r="C35" s="70"/>
      <c r="D35" s="70"/>
      <c r="E35" s="70"/>
      <c r="F35" s="70"/>
      <c r="G35" s="70"/>
      <c r="H35" s="70"/>
      <c r="I35" s="70"/>
      <c r="J35" s="70"/>
      <c r="K35" s="70"/>
      <c r="L35" s="70"/>
      <c r="M35" s="70"/>
    </row>
    <row r="36" spans="1:13" x14ac:dyDescent="0.3">
      <c r="A36" s="70"/>
      <c r="B36" s="70"/>
      <c r="C36" s="70"/>
      <c r="D36" s="70"/>
      <c r="E36" s="70"/>
      <c r="F36" s="70"/>
      <c r="G36" s="70"/>
      <c r="H36" s="70"/>
      <c r="I36" s="70"/>
      <c r="J36" s="70"/>
      <c r="K36" s="70"/>
      <c r="L36" s="70"/>
      <c r="M36" s="70"/>
    </row>
    <row r="37" spans="1:13" x14ac:dyDescent="0.3">
      <c r="A37" s="70"/>
      <c r="B37" s="70"/>
      <c r="C37" s="70"/>
      <c r="D37" s="70"/>
      <c r="E37" s="70"/>
      <c r="F37" s="70"/>
      <c r="G37" s="70"/>
      <c r="H37" s="70"/>
      <c r="I37" s="70"/>
      <c r="J37" s="70"/>
      <c r="K37" s="70"/>
      <c r="L37" s="70"/>
      <c r="M37" s="70"/>
    </row>
    <row r="38" spans="1:13" ht="14.4" customHeight="1" x14ac:dyDescent="0.3">
      <c r="A38" s="75" t="s">
        <v>223</v>
      </c>
      <c r="B38" s="75"/>
      <c r="C38" s="75"/>
      <c r="D38" s="75"/>
      <c r="E38" s="75"/>
      <c r="F38" s="75"/>
      <c r="G38" s="75"/>
      <c r="H38" s="75"/>
      <c r="I38" s="75"/>
      <c r="J38" s="75"/>
      <c r="K38" s="75"/>
      <c r="L38" s="75"/>
      <c r="M38" s="75"/>
    </row>
    <row r="39" spans="1:13" ht="14.4" customHeight="1" x14ac:dyDescent="0.3">
      <c r="A39" s="72"/>
      <c r="B39" s="72"/>
      <c r="C39" s="72"/>
      <c r="D39" s="72"/>
      <c r="E39" s="72"/>
      <c r="F39" s="72"/>
      <c r="G39" s="72"/>
      <c r="H39" s="72"/>
      <c r="I39" s="72"/>
      <c r="J39" s="72"/>
      <c r="K39" s="72"/>
      <c r="L39" s="72"/>
      <c r="M39" s="72"/>
    </row>
    <row r="40" spans="1:13" ht="14.4" customHeight="1" x14ac:dyDescent="0.3">
      <c r="A40" s="80" t="s">
        <v>272</v>
      </c>
      <c r="B40" s="80"/>
      <c r="C40" s="80"/>
      <c r="D40" s="80"/>
      <c r="E40" s="80"/>
      <c r="F40" s="80"/>
      <c r="G40" s="80"/>
      <c r="H40" s="80"/>
      <c r="I40" s="80"/>
      <c r="J40" s="80"/>
      <c r="K40" s="80"/>
      <c r="L40" s="80"/>
      <c r="M40" s="80"/>
    </row>
    <row r="41" spans="1:13" ht="14.4" customHeight="1" x14ac:dyDescent="0.3">
      <c r="A41" s="77" t="s">
        <v>207</v>
      </c>
      <c r="B41" s="77"/>
      <c r="C41" s="77"/>
      <c r="D41" s="77"/>
      <c r="E41" s="77"/>
      <c r="F41" s="77"/>
      <c r="G41" s="77"/>
      <c r="H41" s="77"/>
      <c r="I41" s="77"/>
      <c r="J41" s="77"/>
      <c r="K41" s="77"/>
      <c r="L41" s="77"/>
      <c r="M41" s="77"/>
    </row>
    <row r="42" spans="1:13" ht="14.4" customHeight="1" x14ac:dyDescent="0.3">
      <c r="A42" s="77"/>
      <c r="B42" s="77"/>
      <c r="C42" s="77"/>
      <c r="D42" s="77"/>
      <c r="E42" s="77"/>
      <c r="F42" s="77"/>
      <c r="G42" s="77"/>
      <c r="H42" s="77"/>
      <c r="I42" s="77"/>
      <c r="J42" s="77"/>
      <c r="K42" s="77"/>
      <c r="L42" s="77"/>
      <c r="M42" s="77"/>
    </row>
    <row r="43" spans="1:13" ht="14.4" customHeight="1" x14ac:dyDescent="0.3">
      <c r="A43" s="75" t="s">
        <v>134</v>
      </c>
      <c r="B43" s="75"/>
      <c r="C43" s="75"/>
      <c r="D43" s="75"/>
      <c r="E43" s="75"/>
      <c r="F43" s="75"/>
      <c r="G43" s="75"/>
      <c r="H43" s="75"/>
      <c r="I43" s="75"/>
      <c r="J43" s="75"/>
      <c r="K43" s="75"/>
      <c r="L43" s="75"/>
      <c r="M43" s="75"/>
    </row>
    <row r="44" spans="1:13" ht="14.4" customHeight="1" x14ac:dyDescent="0.3">
      <c r="A44" s="75"/>
      <c r="B44" s="75"/>
      <c r="C44" s="75"/>
      <c r="D44" s="75"/>
      <c r="E44" s="75"/>
      <c r="F44" s="75"/>
      <c r="G44" s="75"/>
      <c r="H44" s="75"/>
      <c r="I44" s="75"/>
      <c r="J44" s="75"/>
      <c r="K44" s="75"/>
      <c r="L44" s="75"/>
      <c r="M44" s="75"/>
    </row>
    <row r="45" spans="1:13" ht="14.4" customHeight="1" x14ac:dyDescent="0.3">
      <c r="A45" s="75" t="s">
        <v>273</v>
      </c>
      <c r="B45" s="75"/>
      <c r="C45" s="75"/>
      <c r="D45" s="75"/>
      <c r="E45" s="75"/>
      <c r="F45" s="75"/>
      <c r="G45" s="75"/>
      <c r="H45" s="75"/>
      <c r="I45" s="75"/>
      <c r="J45" s="75"/>
      <c r="K45" s="75"/>
      <c r="L45" s="75"/>
      <c r="M45" s="75"/>
    </row>
    <row r="46" spans="1:13" ht="14.4" customHeight="1" x14ac:dyDescent="0.3">
      <c r="A46" s="75"/>
      <c r="B46" s="75"/>
      <c r="C46" s="75"/>
      <c r="D46" s="75"/>
      <c r="E46" s="75"/>
      <c r="F46" s="75"/>
      <c r="G46" s="75"/>
      <c r="H46" s="75"/>
      <c r="I46" s="75"/>
      <c r="J46" s="75"/>
      <c r="K46" s="75"/>
      <c r="L46" s="75"/>
      <c r="M46" s="75"/>
    </row>
    <row r="47" spans="1:13" ht="14.4" customHeight="1" x14ac:dyDescent="0.3">
      <c r="A47" s="75"/>
      <c r="B47" s="75"/>
      <c r="C47" s="75"/>
      <c r="D47" s="75"/>
      <c r="E47" s="75"/>
      <c r="F47" s="75"/>
      <c r="G47" s="75"/>
      <c r="H47" s="75"/>
      <c r="I47" s="75"/>
      <c r="J47" s="75"/>
      <c r="K47" s="75"/>
      <c r="L47" s="75"/>
      <c r="M47" s="75"/>
    </row>
    <row r="48" spans="1:13" ht="14.4" customHeight="1" x14ac:dyDescent="0.3">
      <c r="A48" s="75"/>
      <c r="B48" s="75"/>
      <c r="C48" s="75"/>
      <c r="D48" s="75"/>
      <c r="E48" s="75"/>
      <c r="F48" s="75"/>
      <c r="G48" s="75"/>
      <c r="H48" s="75"/>
      <c r="I48" s="75"/>
      <c r="J48" s="75"/>
      <c r="K48" s="75"/>
      <c r="L48" s="75"/>
      <c r="M48" s="75"/>
    </row>
    <row r="49" spans="1:13" ht="14.4" customHeight="1" x14ac:dyDescent="0.3">
      <c r="A49" s="75"/>
      <c r="B49" s="75"/>
      <c r="C49" s="75"/>
      <c r="D49" s="75"/>
      <c r="E49" s="75"/>
      <c r="F49" s="75"/>
      <c r="G49" s="75"/>
      <c r="H49" s="75"/>
      <c r="I49" s="75"/>
      <c r="J49" s="75"/>
      <c r="K49" s="75"/>
      <c r="L49" s="75"/>
      <c r="M49" s="75"/>
    </row>
    <row r="50" spans="1:13" ht="15" customHeight="1" x14ac:dyDescent="0.3">
      <c r="A50" s="75" t="s">
        <v>137</v>
      </c>
      <c r="B50" s="75"/>
      <c r="C50" s="75"/>
      <c r="D50" s="75"/>
      <c r="E50" s="75"/>
      <c r="F50" s="75"/>
      <c r="G50" s="75"/>
      <c r="H50" s="75"/>
      <c r="I50" s="75"/>
      <c r="J50" s="75"/>
      <c r="K50" s="75"/>
      <c r="L50" s="75"/>
      <c r="M50" s="75"/>
    </row>
    <row r="51" spans="1:13" ht="14.4" customHeight="1" x14ac:dyDescent="0.3">
      <c r="A51" s="72"/>
      <c r="B51" s="72"/>
      <c r="C51" s="72"/>
      <c r="D51" s="72"/>
      <c r="E51" s="72"/>
      <c r="F51" s="72"/>
      <c r="G51" s="72"/>
      <c r="H51" s="72"/>
      <c r="I51" s="72"/>
      <c r="J51" s="72"/>
      <c r="K51" s="72"/>
      <c r="L51" s="72"/>
      <c r="M51" s="72"/>
    </row>
    <row r="52" spans="1:13" x14ac:dyDescent="0.3">
      <c r="A52" s="69" t="s">
        <v>69</v>
      </c>
      <c r="B52" s="69"/>
      <c r="C52" s="69"/>
      <c r="D52" s="69"/>
      <c r="E52" s="69"/>
      <c r="F52" s="69"/>
      <c r="G52" s="69"/>
      <c r="H52" s="69"/>
      <c r="I52" s="69"/>
      <c r="J52" s="69"/>
      <c r="K52" s="69"/>
      <c r="L52" s="69"/>
      <c r="M52" s="69"/>
    </row>
    <row r="53" spans="1:13" ht="14.4" customHeight="1" x14ac:dyDescent="0.3">
      <c r="A53" s="75" t="s">
        <v>84</v>
      </c>
      <c r="B53" s="75"/>
      <c r="C53" s="75"/>
      <c r="D53" s="75"/>
      <c r="E53" s="75"/>
      <c r="F53" s="75"/>
      <c r="G53" s="75"/>
      <c r="H53" s="75"/>
      <c r="I53" s="75"/>
      <c r="J53" s="75"/>
      <c r="K53" s="75"/>
      <c r="L53" s="75"/>
      <c r="M53" s="75"/>
    </row>
    <row r="54" spans="1:13" x14ac:dyDescent="0.3">
      <c r="A54" s="75"/>
      <c r="B54" s="75"/>
      <c r="C54" s="75"/>
      <c r="D54" s="75"/>
      <c r="E54" s="75"/>
      <c r="F54" s="75"/>
      <c r="G54" s="75"/>
      <c r="H54" s="75"/>
      <c r="I54" s="75"/>
      <c r="J54" s="75"/>
      <c r="K54" s="75"/>
      <c r="L54" s="75"/>
      <c r="M54" s="75"/>
    </row>
    <row r="55" spans="1:13" x14ac:dyDescent="0.3">
      <c r="A55" s="76" t="s">
        <v>131</v>
      </c>
      <c r="B55" s="76"/>
      <c r="C55" s="76"/>
      <c r="D55" s="76"/>
      <c r="E55" s="76"/>
      <c r="F55" s="76"/>
      <c r="G55" s="76"/>
      <c r="H55" s="76"/>
      <c r="I55" s="76"/>
      <c r="J55" s="76"/>
      <c r="K55" s="76"/>
      <c r="L55" s="76"/>
      <c r="M55" s="76"/>
    </row>
    <row r="56" spans="1:13" x14ac:dyDescent="0.3">
      <c r="A56" s="71"/>
      <c r="B56" s="71"/>
      <c r="C56" s="71"/>
      <c r="D56" s="71"/>
      <c r="E56" s="71"/>
      <c r="F56" s="71"/>
      <c r="G56" s="71"/>
      <c r="H56" s="71"/>
      <c r="I56" s="71"/>
      <c r="J56" s="71"/>
      <c r="K56" s="71"/>
      <c r="L56" s="71"/>
      <c r="M56" s="71"/>
    </row>
    <row r="57" spans="1:13" x14ac:dyDescent="0.3">
      <c r="A57" s="69" t="s">
        <v>133</v>
      </c>
      <c r="B57" s="69"/>
      <c r="C57" s="69"/>
      <c r="D57" s="69"/>
      <c r="E57" s="69"/>
      <c r="F57" s="69"/>
      <c r="G57" s="69"/>
      <c r="H57" s="69"/>
      <c r="I57" s="69"/>
      <c r="J57" s="69"/>
      <c r="K57" s="69"/>
      <c r="L57" s="69"/>
      <c r="M57" s="69"/>
    </row>
    <row r="58" spans="1:13" ht="15" customHeight="1" x14ac:dyDescent="0.3">
      <c r="A58" s="75" t="s">
        <v>85</v>
      </c>
      <c r="B58" s="75"/>
      <c r="C58" s="75"/>
      <c r="D58" s="75"/>
      <c r="E58" s="75"/>
      <c r="F58" s="75"/>
      <c r="G58" s="75"/>
      <c r="H58" s="75"/>
      <c r="I58" s="75"/>
      <c r="J58" s="75"/>
      <c r="K58" s="75"/>
      <c r="L58" s="75"/>
      <c r="M58" s="75"/>
    </row>
    <row r="59" spans="1:13" x14ac:dyDescent="0.3">
      <c r="A59" s="75"/>
      <c r="B59" s="75"/>
      <c r="C59" s="75"/>
      <c r="D59" s="75"/>
      <c r="E59" s="75"/>
      <c r="F59" s="75"/>
      <c r="G59" s="75"/>
      <c r="H59" s="75"/>
      <c r="I59" s="75"/>
      <c r="J59" s="75"/>
      <c r="K59" s="75"/>
      <c r="L59" s="75"/>
      <c r="M59" s="75"/>
    </row>
    <row r="60" spans="1:13" x14ac:dyDescent="0.3">
      <c r="A60" s="72"/>
      <c r="B60" s="72"/>
      <c r="C60" s="72"/>
      <c r="D60" s="72"/>
      <c r="E60" s="72"/>
      <c r="F60" s="72"/>
      <c r="G60" s="72"/>
      <c r="H60" s="72"/>
      <c r="I60" s="72"/>
      <c r="J60" s="72"/>
      <c r="K60" s="72"/>
      <c r="L60" s="72"/>
      <c r="M60" s="72"/>
    </row>
    <row r="61" spans="1:13" x14ac:dyDescent="0.3">
      <c r="A61" s="73" t="s">
        <v>97</v>
      </c>
      <c r="B61" s="73"/>
      <c r="C61" s="73"/>
      <c r="D61" s="73"/>
      <c r="E61" s="73"/>
      <c r="F61" s="73"/>
      <c r="G61" s="73"/>
      <c r="H61" s="73"/>
      <c r="I61" s="73"/>
      <c r="J61" s="73"/>
      <c r="K61" s="73"/>
      <c r="L61" s="73"/>
      <c r="M61" s="73"/>
    </row>
    <row r="62" spans="1:13" x14ac:dyDescent="0.3">
      <c r="A62" s="69" t="s">
        <v>98</v>
      </c>
      <c r="B62" s="69"/>
      <c r="C62" s="69"/>
      <c r="D62" s="69"/>
      <c r="E62" s="69"/>
      <c r="F62" s="69"/>
      <c r="G62" s="69"/>
      <c r="H62" s="69"/>
      <c r="I62" s="69"/>
      <c r="J62" s="69"/>
      <c r="K62" s="69"/>
      <c r="L62" s="69"/>
      <c r="M62" s="69"/>
    </row>
    <row r="63" spans="1:13" ht="14.4" customHeight="1" x14ac:dyDescent="0.3">
      <c r="A63" s="74" t="s">
        <v>127</v>
      </c>
      <c r="B63" s="74"/>
      <c r="C63" s="74"/>
      <c r="D63" s="74"/>
      <c r="E63" s="74"/>
      <c r="F63" s="74"/>
      <c r="G63" s="74"/>
      <c r="H63" s="74"/>
      <c r="I63" s="74"/>
      <c r="J63" s="74"/>
      <c r="K63" s="74"/>
      <c r="L63" s="74"/>
      <c r="M63" s="74"/>
    </row>
    <row r="64" spans="1:13" x14ac:dyDescent="0.3">
      <c r="A64" s="74"/>
      <c r="B64" s="74"/>
      <c r="C64" s="74"/>
      <c r="D64" s="74"/>
      <c r="E64" s="74"/>
      <c r="F64" s="74"/>
      <c r="G64" s="74"/>
      <c r="H64" s="74"/>
      <c r="I64" s="74"/>
      <c r="J64" s="74"/>
      <c r="K64" s="74"/>
      <c r="L64" s="74"/>
      <c r="M64" s="74"/>
    </row>
    <row r="65" spans="1:13" x14ac:dyDescent="0.3">
      <c r="A65" s="74"/>
      <c r="B65" s="74"/>
      <c r="C65" s="74"/>
      <c r="D65" s="74"/>
      <c r="E65" s="74"/>
      <c r="F65" s="74"/>
      <c r="G65" s="74"/>
      <c r="H65" s="74"/>
      <c r="I65" s="74"/>
      <c r="J65" s="74"/>
      <c r="K65" s="74"/>
      <c r="L65" s="74"/>
      <c r="M65" s="74"/>
    </row>
    <row r="66" spans="1:13" x14ac:dyDescent="0.3">
      <c r="A66" s="74"/>
      <c r="B66" s="74"/>
      <c r="C66" s="74"/>
      <c r="D66" s="74"/>
      <c r="E66" s="74"/>
      <c r="F66" s="74"/>
      <c r="G66" s="74"/>
      <c r="H66" s="74"/>
      <c r="I66" s="74"/>
      <c r="J66" s="74"/>
      <c r="K66" s="74"/>
      <c r="L66" s="74"/>
      <c r="M66" s="74"/>
    </row>
    <row r="67" spans="1:13" x14ac:dyDescent="0.3">
      <c r="A67" s="83"/>
      <c r="B67" s="83"/>
      <c r="C67" s="83"/>
      <c r="D67" s="83"/>
      <c r="E67" s="83"/>
      <c r="F67" s="83"/>
      <c r="G67" s="83"/>
      <c r="H67" s="83"/>
      <c r="I67" s="83"/>
      <c r="J67" s="83"/>
      <c r="K67" s="83"/>
      <c r="L67" s="83"/>
      <c r="M67" s="83"/>
    </row>
    <row r="68" spans="1:13" x14ac:dyDescent="0.3">
      <c r="A68" s="83"/>
      <c r="B68" s="83"/>
      <c r="C68" s="83"/>
      <c r="D68" s="83"/>
      <c r="E68" s="83"/>
      <c r="F68" s="81" t="s">
        <v>224</v>
      </c>
      <c r="G68" s="82"/>
      <c r="H68" s="82"/>
      <c r="I68" s="83"/>
      <c r="J68" s="83"/>
      <c r="K68" s="83"/>
      <c r="L68" s="83"/>
      <c r="M68" s="83"/>
    </row>
    <row r="69" spans="1:13" x14ac:dyDescent="0.3">
      <c r="A69" s="83"/>
      <c r="B69" s="83"/>
      <c r="C69" s="83"/>
      <c r="D69" s="83"/>
      <c r="E69" s="83"/>
      <c r="F69" s="82"/>
      <c r="G69" s="82"/>
      <c r="H69" s="82"/>
      <c r="I69" s="83"/>
      <c r="J69" s="83"/>
      <c r="K69" s="83"/>
      <c r="L69" s="83"/>
      <c r="M69" s="83"/>
    </row>
    <row r="70" spans="1:13" x14ac:dyDescent="0.3">
      <c r="A70" s="84"/>
      <c r="B70" s="84"/>
      <c r="C70" s="84"/>
      <c r="D70" s="84"/>
      <c r="E70" s="84"/>
      <c r="F70" s="84"/>
      <c r="G70" s="84"/>
      <c r="H70" s="84"/>
      <c r="I70" s="84"/>
      <c r="J70" s="84"/>
      <c r="K70" s="84"/>
      <c r="L70" s="84"/>
      <c r="M70" s="84"/>
    </row>
    <row r="71" spans="1:13" x14ac:dyDescent="0.3">
      <c r="A71" s="69" t="s">
        <v>99</v>
      </c>
      <c r="B71" s="69"/>
      <c r="C71" s="69"/>
      <c r="D71" s="69"/>
      <c r="E71" s="69"/>
      <c r="F71" s="69"/>
      <c r="G71" s="69"/>
      <c r="H71" s="69"/>
      <c r="I71" s="69"/>
      <c r="J71" s="69"/>
      <c r="K71" s="69"/>
      <c r="L71" s="69"/>
      <c r="M71" s="69"/>
    </row>
    <row r="72" spans="1:13" x14ac:dyDescent="0.3">
      <c r="A72" s="70" t="s">
        <v>208</v>
      </c>
      <c r="B72" s="70"/>
      <c r="C72" s="70"/>
      <c r="D72" s="70"/>
      <c r="E72" s="70"/>
      <c r="F72" s="70"/>
      <c r="G72" s="70"/>
      <c r="H72" s="70"/>
      <c r="I72" s="70"/>
      <c r="J72" s="70"/>
      <c r="K72" s="70"/>
      <c r="L72" s="70"/>
      <c r="M72" s="70"/>
    </row>
    <row r="73" spans="1:13" x14ac:dyDescent="0.3">
      <c r="A73" s="70"/>
      <c r="B73" s="70"/>
      <c r="C73" s="70"/>
      <c r="D73" s="70"/>
      <c r="E73" s="70"/>
      <c r="F73" s="70"/>
      <c r="G73" s="70"/>
      <c r="H73" s="70"/>
      <c r="I73" s="70"/>
      <c r="J73" s="70"/>
      <c r="K73" s="70"/>
      <c r="L73" s="70"/>
      <c r="M73" s="70"/>
    </row>
    <row r="74" spans="1:13" x14ac:dyDescent="0.3">
      <c r="A74" s="70"/>
      <c r="B74" s="70"/>
      <c r="C74" s="70"/>
      <c r="D74" s="70"/>
      <c r="E74" s="70"/>
      <c r="F74" s="70"/>
      <c r="G74" s="70"/>
      <c r="H74" s="70"/>
      <c r="I74" s="70"/>
      <c r="J74" s="70"/>
      <c r="K74" s="70"/>
      <c r="L74" s="70"/>
      <c r="M74" s="70"/>
    </row>
    <row r="75" spans="1:13" x14ac:dyDescent="0.3">
      <c r="A75" s="7"/>
      <c r="B75" s="7"/>
      <c r="C75" s="7"/>
      <c r="D75" s="7"/>
      <c r="E75" s="7"/>
      <c r="F75" s="7"/>
      <c r="G75" s="7"/>
      <c r="H75" s="7"/>
      <c r="I75" s="7"/>
      <c r="J75" s="7"/>
      <c r="K75" s="7"/>
      <c r="L75" s="7"/>
      <c r="M75" s="7"/>
    </row>
    <row r="76" spans="1:13" x14ac:dyDescent="0.3">
      <c r="A76" s="69" t="s">
        <v>286</v>
      </c>
      <c r="B76" s="69"/>
      <c r="C76" s="69"/>
      <c r="D76" s="69"/>
      <c r="E76" s="69"/>
      <c r="F76" s="69"/>
      <c r="G76" s="69"/>
      <c r="H76" s="69"/>
      <c r="I76" s="69"/>
      <c r="J76" s="69"/>
      <c r="K76" s="69"/>
      <c r="L76" s="69"/>
      <c r="M76" s="69"/>
    </row>
    <row r="77" spans="1:13" ht="14.4" customHeight="1" x14ac:dyDescent="0.3">
      <c r="A77" s="77" t="s">
        <v>287</v>
      </c>
      <c r="B77" s="77"/>
      <c r="C77" s="77"/>
      <c r="D77" s="77"/>
      <c r="E77" s="77"/>
      <c r="F77" s="77"/>
      <c r="G77" s="77"/>
      <c r="H77" s="77"/>
      <c r="I77" s="77"/>
      <c r="J77" s="77"/>
      <c r="K77" s="77"/>
      <c r="L77" s="77"/>
      <c r="M77" s="77"/>
    </row>
    <row r="78" spans="1:13" x14ac:dyDescent="0.3">
      <c r="A78" s="77"/>
      <c r="B78" s="77"/>
      <c r="C78" s="77"/>
      <c r="D78" s="77"/>
      <c r="E78" s="77"/>
      <c r="F78" s="77"/>
      <c r="G78" s="77"/>
      <c r="H78" s="77"/>
      <c r="I78" s="77"/>
      <c r="J78" s="77"/>
      <c r="K78" s="77"/>
      <c r="L78" s="77"/>
      <c r="M78" s="77"/>
    </row>
    <row r="79" spans="1:13" x14ac:dyDescent="0.3">
      <c r="A79" s="77"/>
      <c r="B79" s="77"/>
      <c r="C79" s="77"/>
      <c r="D79" s="77"/>
      <c r="E79" s="77"/>
      <c r="F79" s="77"/>
      <c r="G79" s="77"/>
      <c r="H79" s="77"/>
      <c r="I79" s="77"/>
      <c r="J79" s="77"/>
      <c r="K79" s="77"/>
      <c r="L79" s="77"/>
      <c r="M79" s="77"/>
    </row>
    <row r="80" spans="1:13" x14ac:dyDescent="0.3">
      <c r="A80" s="7"/>
      <c r="B80" s="7"/>
      <c r="C80" s="7"/>
      <c r="D80" s="7"/>
      <c r="E80" s="7"/>
      <c r="F80" s="7"/>
      <c r="G80" s="7"/>
      <c r="H80" s="7"/>
      <c r="I80" s="7"/>
      <c r="J80" s="7"/>
      <c r="K80" s="7"/>
      <c r="L80" s="7"/>
      <c r="M80" s="7"/>
    </row>
    <row r="81" spans="1:13" x14ac:dyDescent="0.3">
      <c r="A81" s="69" t="s">
        <v>257</v>
      </c>
      <c r="B81" s="69"/>
      <c r="C81" s="69"/>
      <c r="D81" s="69"/>
      <c r="E81" s="69"/>
      <c r="F81" s="69"/>
      <c r="G81" s="69"/>
      <c r="H81" s="69"/>
      <c r="I81" s="69"/>
      <c r="J81" s="69"/>
      <c r="K81" s="69"/>
      <c r="L81" s="69"/>
      <c r="M81" s="69"/>
    </row>
    <row r="82" spans="1:13" x14ac:dyDescent="0.3">
      <c r="A82" s="70" t="s">
        <v>263</v>
      </c>
      <c r="B82" s="70"/>
      <c r="C82" s="70"/>
      <c r="D82" s="70"/>
      <c r="E82" s="70"/>
      <c r="F82" s="70"/>
      <c r="G82" s="70"/>
      <c r="H82" s="70"/>
      <c r="I82" s="70"/>
      <c r="J82" s="70"/>
      <c r="K82" s="70"/>
      <c r="L82" s="70"/>
      <c r="M82" s="70"/>
    </row>
    <row r="83" spans="1:13" x14ac:dyDescent="0.3">
      <c r="A83" s="70"/>
      <c r="B83" s="70"/>
      <c r="C83" s="70"/>
      <c r="D83" s="70"/>
      <c r="E83" s="70"/>
      <c r="F83" s="70"/>
      <c r="G83" s="70"/>
      <c r="H83" s="70"/>
      <c r="I83" s="70"/>
      <c r="J83" s="70"/>
      <c r="K83" s="70"/>
      <c r="L83" s="70"/>
      <c r="M83" s="70"/>
    </row>
  </sheetData>
  <mergeCells count="49">
    <mergeCell ref="A76:M76"/>
    <mergeCell ref="A77:M79"/>
    <mergeCell ref="A41:M42"/>
    <mergeCell ref="F68:H69"/>
    <mergeCell ref="A67:M67"/>
    <mergeCell ref="A70:M70"/>
    <mergeCell ref="A68:E69"/>
    <mergeCell ref="I68:M69"/>
    <mergeCell ref="A55:M55"/>
    <mergeCell ref="A50:M50"/>
    <mergeCell ref="A43:M44"/>
    <mergeCell ref="A52:M52"/>
    <mergeCell ref="A57:M57"/>
    <mergeCell ref="A53:M54"/>
    <mergeCell ref="A58:M59"/>
    <mergeCell ref="A38:M38"/>
    <mergeCell ref="A30:M30"/>
    <mergeCell ref="A33:M37"/>
    <mergeCell ref="A40:M40"/>
    <mergeCell ref="A72:M74"/>
    <mergeCell ref="A1:M1"/>
    <mergeCell ref="A2:M3"/>
    <mergeCell ref="A19:M19"/>
    <mergeCell ref="A21:M21"/>
    <mergeCell ref="A13:M13"/>
    <mergeCell ref="A5:M5"/>
    <mergeCell ref="A8:M8"/>
    <mergeCell ref="A9:M11"/>
    <mergeCell ref="A12:M12"/>
    <mergeCell ref="A6:M7"/>
    <mergeCell ref="A4:M4"/>
    <mergeCell ref="A14:M15"/>
    <mergeCell ref="A16:M18"/>
    <mergeCell ref="A81:M81"/>
    <mergeCell ref="A82:M83"/>
    <mergeCell ref="A20:M20"/>
    <mergeCell ref="A29:M29"/>
    <mergeCell ref="A39:M39"/>
    <mergeCell ref="A51:M51"/>
    <mergeCell ref="A56:M56"/>
    <mergeCell ref="A60:M60"/>
    <mergeCell ref="A61:M61"/>
    <mergeCell ref="A62:M62"/>
    <mergeCell ref="A63:M66"/>
    <mergeCell ref="A71:M71"/>
    <mergeCell ref="A22:M27"/>
    <mergeCell ref="A45:M49"/>
    <mergeCell ref="A31:M32"/>
    <mergeCell ref="A28:M28"/>
  </mergeCells>
  <hyperlinks>
    <hyperlink ref="A63:M66" r:id="rId1" display="Keep in mind that prices change over time. To double check the cost of an associated item, click the equipment item to be directed to the vendor's website. If the price has changed, manually type the new prices into the associated price section on the excel sheet. LaMotte does not post all items on their website. To view the current yearly prices for LaMotte, visit the Texas Stream Team Equipment Directory webpage." xr:uid="{5A5513D5-36EF-4042-8300-675F67B0282E}"/>
    <hyperlink ref="F68:H69" r:id="rId2" display="https://www.meadowscenter.txst.edu/leadership/texasstreamteam/forms-and-resources/equipment/equipment-directory.html" xr:uid="{8FC5D4F4-7D8A-44FE-BA08-F81AC1F91E3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88DC-4276-4213-ADAC-6F65867D2590}">
  <dimension ref="A1:N101"/>
  <sheetViews>
    <sheetView zoomScaleNormal="100" workbookViewId="0">
      <selection activeCell="A89" sqref="A89:C89"/>
    </sheetView>
  </sheetViews>
  <sheetFormatPr defaultColWidth="9.109375" defaultRowHeight="14.4" x14ac:dyDescent="0.3"/>
  <cols>
    <col min="1" max="1" width="40" style="1" bestFit="1" customWidth="1"/>
    <col min="2" max="2" width="11.33203125" style="1" bestFit="1" customWidth="1"/>
    <col min="3" max="3" width="21" style="1" customWidth="1"/>
    <col min="4" max="4" width="9.5546875" style="1" bestFit="1" customWidth="1"/>
    <col min="5" max="5" width="9.6640625" style="1" bestFit="1" customWidth="1"/>
    <col min="6" max="6" width="11.33203125" style="1" bestFit="1" customWidth="1"/>
    <col min="7" max="7" width="60" style="1" bestFit="1" customWidth="1"/>
    <col min="8" max="8" width="8.109375" style="1" customWidth="1"/>
    <col min="9" max="16384" width="9.109375" style="1"/>
  </cols>
  <sheetData>
    <row r="1" spans="1:14" ht="14.4" customHeight="1" x14ac:dyDescent="0.3">
      <c r="A1" s="73" t="s">
        <v>117</v>
      </c>
      <c r="B1" s="73"/>
      <c r="C1" s="73"/>
      <c r="D1" s="73"/>
      <c r="E1" s="73"/>
      <c r="F1" s="73"/>
      <c r="G1" s="73"/>
      <c r="H1" s="10"/>
      <c r="I1" s="97" t="s">
        <v>145</v>
      </c>
      <c r="J1" s="98"/>
      <c r="K1" s="98"/>
      <c r="L1" s="99"/>
    </row>
    <row r="2" spans="1:14" ht="14.4" customHeight="1" x14ac:dyDescent="0.3">
      <c r="A2" s="96" t="s">
        <v>118</v>
      </c>
      <c r="B2" s="96"/>
      <c r="C2" s="11" t="s">
        <v>62</v>
      </c>
      <c r="D2" s="11"/>
      <c r="E2" s="11"/>
      <c r="F2" s="11"/>
      <c r="G2" s="11"/>
      <c r="I2" s="100"/>
      <c r="J2" s="70"/>
      <c r="K2" s="70"/>
      <c r="L2" s="101"/>
    </row>
    <row r="3" spans="1:14" x14ac:dyDescent="0.3">
      <c r="A3" s="76" t="s">
        <v>182</v>
      </c>
      <c r="B3" s="76"/>
      <c r="C3" s="17"/>
      <c r="D3" s="76"/>
      <c r="E3" s="76"/>
      <c r="F3" s="76"/>
      <c r="G3" s="76"/>
      <c r="I3" s="100"/>
      <c r="J3" s="70"/>
      <c r="K3" s="70"/>
      <c r="L3" s="101"/>
    </row>
    <row r="4" spans="1:14" ht="15" thickBot="1" x14ac:dyDescent="0.35">
      <c r="A4" s="87" t="s">
        <v>260</v>
      </c>
      <c r="B4" s="87"/>
      <c r="C4" s="32"/>
      <c r="D4" s="86"/>
      <c r="E4" s="86"/>
      <c r="F4" s="86"/>
      <c r="G4" s="86"/>
      <c r="I4" s="100"/>
      <c r="J4" s="70"/>
      <c r="K4" s="70"/>
      <c r="L4" s="101"/>
    </row>
    <row r="5" spans="1:14" ht="15" thickBot="1" x14ac:dyDescent="0.35">
      <c r="A5" s="86"/>
      <c r="B5" s="86"/>
      <c r="C5" s="86"/>
      <c r="D5" s="86"/>
      <c r="E5" s="86"/>
      <c r="F5" s="86"/>
      <c r="G5" s="86"/>
      <c r="I5" s="100"/>
      <c r="J5" s="70"/>
      <c r="K5" s="70"/>
      <c r="L5" s="101"/>
    </row>
    <row r="6" spans="1:14" x14ac:dyDescent="0.3">
      <c r="A6" s="73" t="s">
        <v>74</v>
      </c>
      <c r="B6" s="73"/>
      <c r="C6" s="73"/>
      <c r="D6" s="73"/>
      <c r="E6" s="73"/>
      <c r="F6" s="73"/>
      <c r="G6" s="95"/>
      <c r="I6" s="100"/>
      <c r="J6" s="70"/>
      <c r="K6" s="70"/>
      <c r="L6" s="101"/>
    </row>
    <row r="7" spans="1:14" x14ac:dyDescent="0.3">
      <c r="A7" s="96" t="s">
        <v>49</v>
      </c>
      <c r="B7" s="96"/>
      <c r="C7" s="11"/>
      <c r="D7" s="11" t="s">
        <v>1</v>
      </c>
      <c r="E7" s="11" t="s">
        <v>0</v>
      </c>
      <c r="F7" s="11" t="s">
        <v>2</v>
      </c>
      <c r="G7" s="11" t="s">
        <v>17</v>
      </c>
      <c r="I7" s="100"/>
      <c r="J7" s="70"/>
      <c r="K7" s="70"/>
      <c r="L7" s="101"/>
    </row>
    <row r="8" spans="1:14" x14ac:dyDescent="0.3">
      <c r="A8" s="89" t="s">
        <v>5</v>
      </c>
      <c r="B8" s="89"/>
      <c r="C8" s="89"/>
      <c r="D8" s="4">
        <v>663.82</v>
      </c>
      <c r="E8" s="17"/>
      <c r="F8" s="4">
        <f>D8*E8</f>
        <v>0</v>
      </c>
      <c r="I8" s="100"/>
      <c r="J8" s="70"/>
      <c r="K8" s="70"/>
      <c r="L8" s="101"/>
    </row>
    <row r="9" spans="1:14" x14ac:dyDescent="0.3">
      <c r="A9" s="94" t="s">
        <v>4</v>
      </c>
      <c r="B9" s="94"/>
      <c r="C9" s="94"/>
      <c r="D9" s="4">
        <v>49.57</v>
      </c>
      <c r="E9" s="17"/>
      <c r="F9" s="4">
        <f t="shared" ref="F9:F18" si="0">D9*E9</f>
        <v>0</v>
      </c>
      <c r="G9" s="1" t="s">
        <v>20</v>
      </c>
      <c r="I9" s="100"/>
      <c r="J9" s="70"/>
      <c r="K9" s="70"/>
      <c r="L9" s="101"/>
      <c r="N9" s="65"/>
    </row>
    <row r="10" spans="1:14" x14ac:dyDescent="0.3">
      <c r="A10" s="94" t="s">
        <v>44</v>
      </c>
      <c r="B10" s="94"/>
      <c r="C10" s="94"/>
      <c r="D10" s="4">
        <v>68.83</v>
      </c>
      <c r="E10" s="17"/>
      <c r="F10" s="4">
        <f t="shared" si="0"/>
        <v>0</v>
      </c>
      <c r="G10" s="1" t="s">
        <v>20</v>
      </c>
      <c r="I10" s="100"/>
      <c r="J10" s="70"/>
      <c r="K10" s="70"/>
      <c r="L10" s="101"/>
    </row>
    <row r="11" spans="1:14" x14ac:dyDescent="0.3">
      <c r="A11" s="89" t="s">
        <v>298</v>
      </c>
      <c r="B11" s="89"/>
      <c r="C11" s="89"/>
      <c r="D11" s="4">
        <v>13.98</v>
      </c>
      <c r="E11" s="17"/>
      <c r="F11" s="4">
        <f t="shared" si="0"/>
        <v>0</v>
      </c>
      <c r="G11" s="1" t="s">
        <v>19</v>
      </c>
      <c r="I11" s="102"/>
      <c r="J11" s="103"/>
      <c r="K11" s="103"/>
      <c r="L11" s="104"/>
    </row>
    <row r="12" spans="1:14" x14ac:dyDescent="0.3">
      <c r="A12" s="94" t="s">
        <v>204</v>
      </c>
      <c r="B12" s="94"/>
      <c r="C12" s="94"/>
      <c r="D12" s="4">
        <v>6.48</v>
      </c>
      <c r="E12" s="17"/>
      <c r="F12" s="4">
        <f t="shared" si="0"/>
        <v>0</v>
      </c>
      <c r="I12" s="7"/>
      <c r="J12" s="7"/>
      <c r="K12" s="7"/>
      <c r="L12" s="7"/>
    </row>
    <row r="13" spans="1:14" x14ac:dyDescent="0.3">
      <c r="A13" s="89" t="s">
        <v>6</v>
      </c>
      <c r="B13" s="89"/>
      <c r="C13" s="89"/>
      <c r="D13" s="4">
        <v>1.37</v>
      </c>
      <c r="E13" s="17"/>
      <c r="F13" s="4">
        <f t="shared" si="0"/>
        <v>0</v>
      </c>
      <c r="I13" s="7"/>
      <c r="J13" s="7"/>
      <c r="K13" s="7"/>
      <c r="L13" s="7"/>
    </row>
    <row r="14" spans="1:14" x14ac:dyDescent="0.3">
      <c r="A14" s="89" t="s">
        <v>196</v>
      </c>
      <c r="B14" s="89"/>
      <c r="C14" s="89"/>
      <c r="D14" s="4">
        <v>5.99</v>
      </c>
      <c r="E14" s="17"/>
      <c r="F14" s="4">
        <f t="shared" si="0"/>
        <v>0</v>
      </c>
      <c r="G14" s="1" t="s">
        <v>19</v>
      </c>
      <c r="I14" s="7"/>
      <c r="J14" s="7"/>
      <c r="K14" s="7"/>
      <c r="L14" s="7"/>
    </row>
    <row r="15" spans="1:14" x14ac:dyDescent="0.3">
      <c r="A15" s="89" t="s">
        <v>7</v>
      </c>
      <c r="B15" s="89"/>
      <c r="C15" s="89"/>
      <c r="D15" s="4">
        <v>12.99</v>
      </c>
      <c r="E15" s="17"/>
      <c r="F15" s="4">
        <f t="shared" si="0"/>
        <v>0</v>
      </c>
      <c r="G15" s="1" t="s">
        <v>19</v>
      </c>
      <c r="I15" s="7"/>
      <c r="J15" s="7"/>
      <c r="K15" s="7"/>
      <c r="L15" s="7"/>
    </row>
    <row r="16" spans="1:14" x14ac:dyDescent="0.3">
      <c r="A16" s="89" t="s">
        <v>8</v>
      </c>
      <c r="B16" s="89"/>
      <c r="C16" s="89"/>
      <c r="D16" s="4">
        <v>8.68</v>
      </c>
      <c r="E16" s="17"/>
      <c r="F16" s="4">
        <f t="shared" si="0"/>
        <v>0</v>
      </c>
    </row>
    <row r="17" spans="1:12" ht="14.4" customHeight="1" x14ac:dyDescent="0.3">
      <c r="A17" s="106" t="s">
        <v>9</v>
      </c>
      <c r="B17" s="106"/>
      <c r="C17" s="106"/>
      <c r="D17" s="4">
        <v>25.99</v>
      </c>
      <c r="E17" s="17"/>
      <c r="F17" s="4">
        <f t="shared" si="0"/>
        <v>0</v>
      </c>
      <c r="G17" s="1" t="s">
        <v>21</v>
      </c>
      <c r="H17" s="7"/>
      <c r="I17" s="7"/>
      <c r="J17" s="7"/>
      <c r="K17" s="7"/>
    </row>
    <row r="18" spans="1:12" ht="14.4" customHeight="1" thickBot="1" x14ac:dyDescent="0.35">
      <c r="A18" s="93" t="s">
        <v>3</v>
      </c>
      <c r="B18" s="93"/>
      <c r="C18" s="93"/>
      <c r="D18" s="5">
        <v>160.38999999999999</v>
      </c>
      <c r="E18" s="32"/>
      <c r="F18" s="5">
        <f t="shared" si="0"/>
        <v>0</v>
      </c>
      <c r="G18" s="2" t="s">
        <v>18</v>
      </c>
      <c r="H18" s="7"/>
      <c r="I18" s="7"/>
      <c r="J18" s="7"/>
      <c r="K18" s="7"/>
    </row>
    <row r="19" spans="1:12" ht="15" thickBot="1" x14ac:dyDescent="0.35">
      <c r="A19" s="90" t="s">
        <v>35</v>
      </c>
      <c r="B19" s="90"/>
      <c r="C19" s="90"/>
      <c r="D19" s="90"/>
      <c r="E19" s="90"/>
      <c r="F19" s="5">
        <f>SUM(F8:F18)</f>
        <v>0</v>
      </c>
      <c r="G19" s="2"/>
      <c r="I19" s="7"/>
      <c r="J19" s="7"/>
      <c r="K19" s="7"/>
      <c r="L19" s="7"/>
    </row>
    <row r="20" spans="1:12" x14ac:dyDescent="0.3">
      <c r="A20" s="92"/>
      <c r="B20" s="92"/>
      <c r="C20" s="92"/>
      <c r="D20" s="92"/>
      <c r="E20" s="92"/>
      <c r="F20" s="92"/>
      <c r="G20" s="92"/>
      <c r="I20" s="7"/>
      <c r="J20" s="7"/>
      <c r="K20" s="7"/>
      <c r="L20" s="7"/>
    </row>
    <row r="21" spans="1:12" x14ac:dyDescent="0.3">
      <c r="A21" s="73" t="s">
        <v>139</v>
      </c>
      <c r="B21" s="73"/>
      <c r="C21" s="73"/>
      <c r="D21" s="73"/>
      <c r="E21" s="73"/>
      <c r="F21" s="73"/>
      <c r="G21" s="73"/>
      <c r="I21" s="7"/>
      <c r="J21" s="7"/>
      <c r="K21" s="7"/>
      <c r="L21" s="7"/>
    </row>
    <row r="22" spans="1:12" ht="28.8" x14ac:dyDescent="0.3">
      <c r="A22" s="111" t="s">
        <v>49</v>
      </c>
      <c r="B22" s="111"/>
      <c r="C22" s="19" t="s">
        <v>103</v>
      </c>
      <c r="D22" s="13" t="s">
        <v>1</v>
      </c>
      <c r="E22" s="13" t="s">
        <v>0</v>
      </c>
      <c r="F22" s="13" t="s">
        <v>35</v>
      </c>
      <c r="G22" s="13" t="s">
        <v>17</v>
      </c>
      <c r="I22" s="7"/>
      <c r="J22" s="7"/>
      <c r="K22" s="7"/>
      <c r="L22" s="7"/>
    </row>
    <row r="23" spans="1:12" x14ac:dyDescent="0.3">
      <c r="A23" s="89" t="s">
        <v>10</v>
      </c>
      <c r="B23" s="89"/>
      <c r="C23" s="17"/>
      <c r="D23" s="4">
        <v>11.29</v>
      </c>
      <c r="E23" s="33">
        <f>ROUNDUP((C23/68)*12,0)</f>
        <v>0</v>
      </c>
      <c r="F23" s="4">
        <f t="shared" ref="F23:F29" si="1">D23*E23</f>
        <v>0</v>
      </c>
      <c r="I23" s="7"/>
      <c r="J23" s="7"/>
      <c r="K23" s="7"/>
      <c r="L23" s="7"/>
    </row>
    <row r="24" spans="1:12" x14ac:dyDescent="0.3">
      <c r="A24" s="89" t="s">
        <v>11</v>
      </c>
      <c r="B24" s="89"/>
      <c r="C24" s="31">
        <f>C23</f>
        <v>0</v>
      </c>
      <c r="D24" s="4">
        <v>16.399999999999999</v>
      </c>
      <c r="E24" s="31">
        <f>ROUNDUP((C24/56)*12,0)</f>
        <v>0</v>
      </c>
      <c r="F24" s="4">
        <f t="shared" si="1"/>
        <v>0</v>
      </c>
      <c r="I24" s="7"/>
      <c r="J24" s="7"/>
      <c r="K24" s="7"/>
      <c r="L24" s="7"/>
    </row>
    <row r="25" spans="1:12" x14ac:dyDescent="0.3">
      <c r="A25" s="89" t="s">
        <v>16</v>
      </c>
      <c r="B25" s="89"/>
      <c r="C25" s="31">
        <f>C23</f>
        <v>0</v>
      </c>
      <c r="D25" s="4">
        <v>13.09</v>
      </c>
      <c r="E25" s="33">
        <f>ROUNDUP((C25/57)*12,0)</f>
        <v>0</v>
      </c>
      <c r="F25" s="4">
        <f t="shared" si="1"/>
        <v>0</v>
      </c>
      <c r="I25" s="7"/>
      <c r="J25" s="7"/>
      <c r="K25" s="7"/>
      <c r="L25" s="7"/>
    </row>
    <row r="26" spans="1:12" x14ac:dyDescent="0.3">
      <c r="A26" s="89" t="s">
        <v>12</v>
      </c>
      <c r="B26" s="89"/>
      <c r="C26" s="31">
        <f>C23</f>
        <v>0</v>
      </c>
      <c r="D26" s="4">
        <v>9.59</v>
      </c>
      <c r="E26" s="31">
        <f>ROUNDUP((C26/41)*12,0)</f>
        <v>0</v>
      </c>
      <c r="F26" s="4">
        <f t="shared" si="1"/>
        <v>0</v>
      </c>
      <c r="I26" s="7"/>
      <c r="J26" s="7"/>
      <c r="K26" s="7"/>
      <c r="L26" s="7"/>
    </row>
    <row r="27" spans="1:12" x14ac:dyDescent="0.3">
      <c r="A27" s="89" t="s">
        <v>13</v>
      </c>
      <c r="B27" s="89"/>
      <c r="C27" s="31">
        <f>C23</f>
        <v>0</v>
      </c>
      <c r="D27" s="4">
        <v>12.43</v>
      </c>
      <c r="E27" s="31">
        <f>ROUNDUP((C27/27)*12,0)</f>
        <v>0</v>
      </c>
      <c r="F27" s="4">
        <f t="shared" si="1"/>
        <v>0</v>
      </c>
      <c r="I27" s="7"/>
      <c r="J27" s="7"/>
      <c r="K27" s="7"/>
      <c r="L27" s="7"/>
    </row>
    <row r="28" spans="1:12" x14ac:dyDescent="0.3">
      <c r="A28" s="89" t="s">
        <v>14</v>
      </c>
      <c r="B28" s="89"/>
      <c r="C28" s="31">
        <f>C23</f>
        <v>0</v>
      </c>
      <c r="D28" s="4">
        <v>10.02</v>
      </c>
      <c r="E28" s="31">
        <f>ROUNDUP((C28/145)*12,0)</f>
        <v>0</v>
      </c>
      <c r="F28" s="4">
        <f t="shared" si="1"/>
        <v>0</v>
      </c>
      <c r="I28" s="7"/>
      <c r="J28" s="7"/>
      <c r="K28" s="7"/>
      <c r="L28" s="7"/>
    </row>
    <row r="29" spans="1:12" x14ac:dyDescent="0.3">
      <c r="A29" s="94" t="s">
        <v>15</v>
      </c>
      <c r="B29" s="94"/>
      <c r="C29" s="31">
        <f>C23</f>
        <v>0</v>
      </c>
      <c r="D29" s="4">
        <v>25.99</v>
      </c>
      <c r="E29" s="31">
        <f>ROUNDUP((C29/20)*12,0)</f>
        <v>0</v>
      </c>
      <c r="F29" s="4">
        <f t="shared" si="1"/>
        <v>0</v>
      </c>
      <c r="G29" s="1" t="s">
        <v>21</v>
      </c>
      <c r="I29" s="7"/>
      <c r="J29" s="7"/>
      <c r="K29" s="7"/>
      <c r="L29" s="7"/>
    </row>
    <row r="30" spans="1:12" x14ac:dyDescent="0.3">
      <c r="A30" s="94" t="s">
        <v>47</v>
      </c>
      <c r="B30" s="94"/>
      <c r="C30" s="45" t="s">
        <v>86</v>
      </c>
      <c r="D30" s="4">
        <v>8.99</v>
      </c>
      <c r="E30" s="31">
        <f>ROUNDUP((C3*2*4)/20, 0)</f>
        <v>0</v>
      </c>
      <c r="F30" s="4">
        <f t="shared" ref="F30" si="2">D30*E30</f>
        <v>0</v>
      </c>
      <c r="G30" s="1" t="s">
        <v>48</v>
      </c>
      <c r="I30" s="7"/>
      <c r="J30" s="7"/>
      <c r="K30" s="7"/>
      <c r="L30" s="7"/>
    </row>
    <row r="31" spans="1:12" x14ac:dyDescent="0.3">
      <c r="A31" s="94" t="s">
        <v>6</v>
      </c>
      <c r="B31" s="94"/>
      <c r="C31" s="45">
        <f>C23</f>
        <v>0</v>
      </c>
      <c r="D31" s="4">
        <v>1.37</v>
      </c>
      <c r="E31" s="31">
        <f>ROUNDUP((C31/48)*12,0)</f>
        <v>0</v>
      </c>
      <c r="F31" s="4">
        <f>E31*D31</f>
        <v>0</v>
      </c>
      <c r="G31" s="1" t="s">
        <v>209</v>
      </c>
    </row>
    <row r="32" spans="1:12" ht="15" thickBot="1" x14ac:dyDescent="0.35">
      <c r="A32" s="109" t="s">
        <v>8</v>
      </c>
      <c r="B32" s="109"/>
      <c r="C32" s="31">
        <f>C23</f>
        <v>0</v>
      </c>
      <c r="D32" s="4">
        <v>8.68</v>
      </c>
      <c r="E32" s="31">
        <f>ROUNDUP((C32/50)*12,0)</f>
        <v>0</v>
      </c>
      <c r="F32" s="4">
        <f>E32*D32</f>
        <v>0</v>
      </c>
    </row>
    <row r="33" spans="1:7" ht="15" thickBot="1" x14ac:dyDescent="0.35">
      <c r="A33" s="91" t="s">
        <v>35</v>
      </c>
      <c r="B33" s="91"/>
      <c r="C33" s="91"/>
      <c r="D33" s="91"/>
      <c r="E33" s="91"/>
      <c r="F33" s="6">
        <f>SUM(F23:F32)</f>
        <v>0</v>
      </c>
      <c r="G33" s="3"/>
    </row>
    <row r="34" spans="1:7" x14ac:dyDescent="0.3">
      <c r="A34" s="110" t="s">
        <v>181</v>
      </c>
      <c r="B34" s="110"/>
      <c r="C34" s="110"/>
      <c r="D34" s="110"/>
      <c r="E34" s="110"/>
      <c r="F34" s="110"/>
      <c r="G34" s="110"/>
    </row>
    <row r="35" spans="1:7" x14ac:dyDescent="0.3">
      <c r="A35" s="71"/>
      <c r="B35" s="71"/>
      <c r="C35" s="71"/>
      <c r="D35" s="71"/>
      <c r="E35" s="71"/>
      <c r="F35" s="71"/>
      <c r="G35" s="71"/>
    </row>
    <row r="36" spans="1:7" x14ac:dyDescent="0.3">
      <c r="A36" s="73" t="s">
        <v>76</v>
      </c>
      <c r="B36" s="73"/>
      <c r="C36" s="73"/>
      <c r="D36" s="73"/>
      <c r="E36" s="73"/>
      <c r="F36" s="73"/>
      <c r="G36" s="73"/>
    </row>
    <row r="37" spans="1:7" x14ac:dyDescent="0.3">
      <c r="A37" s="111" t="s">
        <v>49</v>
      </c>
      <c r="B37" s="111"/>
      <c r="C37" s="19" t="s">
        <v>61</v>
      </c>
      <c r="D37" s="13" t="s">
        <v>1</v>
      </c>
      <c r="E37" s="13" t="s">
        <v>62</v>
      </c>
      <c r="F37" s="13" t="s">
        <v>2</v>
      </c>
      <c r="G37" s="13" t="s">
        <v>17</v>
      </c>
    </row>
    <row r="38" spans="1:7" x14ac:dyDescent="0.3">
      <c r="A38" s="108" t="s">
        <v>63</v>
      </c>
      <c r="B38" s="108"/>
      <c r="C38" s="17"/>
      <c r="D38" s="4">
        <v>663.82</v>
      </c>
      <c r="E38" s="31">
        <f>ROUNDUP((C38/2)+C4, 0)</f>
        <v>0</v>
      </c>
      <c r="F38" s="4">
        <f t="shared" ref="F38:F48" si="3">D38*E38</f>
        <v>0</v>
      </c>
    </row>
    <row r="39" spans="1:7" x14ac:dyDescent="0.3">
      <c r="A39" s="108" t="s">
        <v>108</v>
      </c>
      <c r="B39" s="108"/>
      <c r="C39" s="31">
        <f>C38</f>
        <v>0</v>
      </c>
      <c r="D39" s="4">
        <v>49.57</v>
      </c>
      <c r="E39" s="31">
        <f>ROUNDUP((C39/4)+C4, 0)</f>
        <v>0</v>
      </c>
      <c r="F39" s="4">
        <f t="shared" si="3"/>
        <v>0</v>
      </c>
      <c r="G39" s="1" t="s">
        <v>20</v>
      </c>
    </row>
    <row r="40" spans="1:7" x14ac:dyDescent="0.3">
      <c r="A40" s="108" t="s">
        <v>109</v>
      </c>
      <c r="B40" s="108"/>
      <c r="C40" s="31">
        <f>C38</f>
        <v>0</v>
      </c>
      <c r="D40" s="4">
        <v>68.83</v>
      </c>
      <c r="E40" s="31">
        <f>ROUNDUP((C40/4)+C4, 0)</f>
        <v>0</v>
      </c>
      <c r="F40" s="4">
        <f t="shared" si="3"/>
        <v>0</v>
      </c>
      <c r="G40" s="1" t="s">
        <v>20</v>
      </c>
    </row>
    <row r="41" spans="1:7" x14ac:dyDescent="0.3">
      <c r="A41" s="108" t="s">
        <v>64</v>
      </c>
      <c r="B41" s="108"/>
      <c r="C41" s="31">
        <f>C38</f>
        <v>0</v>
      </c>
      <c r="D41" s="4">
        <v>160.38999999999999</v>
      </c>
      <c r="E41" s="31">
        <f>ROUNDUP((C41/2)+C4, 0)</f>
        <v>0</v>
      </c>
      <c r="F41" s="4">
        <f t="shared" si="3"/>
        <v>0</v>
      </c>
      <c r="G41" s="1" t="s">
        <v>18</v>
      </c>
    </row>
    <row r="42" spans="1:7" x14ac:dyDescent="0.3">
      <c r="A42" s="108" t="s">
        <v>299</v>
      </c>
      <c r="B42" s="108"/>
      <c r="C42" s="31">
        <f>C38</f>
        <v>0</v>
      </c>
      <c r="D42" s="4">
        <v>13.98</v>
      </c>
      <c r="E42" s="31">
        <f>ROUNDUP((C42/4)+C4, 0)</f>
        <v>0</v>
      </c>
      <c r="F42" s="4">
        <f t="shared" si="3"/>
        <v>0</v>
      </c>
      <c r="G42" s="1" t="s">
        <v>19</v>
      </c>
    </row>
    <row r="43" spans="1:7" x14ac:dyDescent="0.3">
      <c r="A43" s="108" t="s">
        <v>205</v>
      </c>
      <c r="B43" s="108"/>
      <c r="C43" s="31">
        <f>C38</f>
        <v>0</v>
      </c>
      <c r="D43" s="4">
        <v>6.48</v>
      </c>
      <c r="E43" s="31">
        <f>ROUNDUP((C43/2)+C4, 0)</f>
        <v>0</v>
      </c>
      <c r="F43" s="4">
        <f t="shared" si="3"/>
        <v>0</v>
      </c>
    </row>
    <row r="44" spans="1:7" x14ac:dyDescent="0.3">
      <c r="A44" s="108" t="s">
        <v>70</v>
      </c>
      <c r="B44" s="108"/>
      <c r="C44" s="31">
        <f>C38</f>
        <v>0</v>
      </c>
      <c r="D44" s="4">
        <v>1.37</v>
      </c>
      <c r="E44" s="31">
        <f>ROUNDUP(((C44/2)+C4)/8, 0)</f>
        <v>0</v>
      </c>
      <c r="F44" s="4">
        <f t="shared" si="3"/>
        <v>0</v>
      </c>
    </row>
    <row r="45" spans="1:7" x14ac:dyDescent="0.3">
      <c r="A45" s="108" t="s">
        <v>197</v>
      </c>
      <c r="B45" s="108"/>
      <c r="C45" s="31">
        <f>C38</f>
        <v>0</v>
      </c>
      <c r="D45" s="4">
        <v>5.99</v>
      </c>
      <c r="E45" s="31">
        <f>ROUNDUP((C45/4)+C4, 0)</f>
        <v>0</v>
      </c>
      <c r="F45" s="4">
        <f>D45*E45</f>
        <v>0</v>
      </c>
      <c r="G45" s="1" t="s">
        <v>19</v>
      </c>
    </row>
    <row r="46" spans="1:7" x14ac:dyDescent="0.3">
      <c r="A46" s="108" t="s">
        <v>7</v>
      </c>
      <c r="B46" s="108"/>
      <c r="C46" s="31">
        <f>C38</f>
        <v>0</v>
      </c>
      <c r="D46" s="4">
        <v>12.99</v>
      </c>
      <c r="E46" s="31">
        <f>ROUNDUP(C46+C4, 0)</f>
        <v>0</v>
      </c>
      <c r="F46" s="4">
        <f t="shared" si="3"/>
        <v>0</v>
      </c>
      <c r="G46" s="1" t="s">
        <v>19</v>
      </c>
    </row>
    <row r="47" spans="1:7" x14ac:dyDescent="0.3">
      <c r="A47" s="94" t="s">
        <v>8</v>
      </c>
      <c r="B47" s="94"/>
      <c r="C47" s="46">
        <f>C38</f>
        <v>0</v>
      </c>
      <c r="D47" s="4">
        <v>8.68</v>
      </c>
      <c r="E47" s="31">
        <f>ROUNDUP(((C47+C4)*2*3)/100, 0)</f>
        <v>0</v>
      </c>
      <c r="F47" s="4">
        <f t="shared" si="3"/>
        <v>0</v>
      </c>
    </row>
    <row r="48" spans="1:7" ht="15" thickBot="1" x14ac:dyDescent="0.35">
      <c r="A48" s="88" t="s">
        <v>93</v>
      </c>
      <c r="B48" s="88"/>
      <c r="C48" s="31">
        <f>C38</f>
        <v>0</v>
      </c>
      <c r="D48" s="4">
        <v>25.99</v>
      </c>
      <c r="E48" s="31">
        <f>ROUNDUP((C48/4)+C4, 0)</f>
        <v>0</v>
      </c>
      <c r="F48" s="4">
        <f t="shared" si="3"/>
        <v>0</v>
      </c>
      <c r="G48" s="1" t="s">
        <v>21</v>
      </c>
    </row>
    <row r="49" spans="1:7" ht="15" thickBot="1" x14ac:dyDescent="0.35">
      <c r="A49" s="107" t="s">
        <v>2</v>
      </c>
      <c r="B49" s="107"/>
      <c r="C49" s="107"/>
      <c r="D49" s="107"/>
      <c r="E49" s="107"/>
      <c r="F49" s="6">
        <f>SUM(F38:F48)</f>
        <v>0</v>
      </c>
      <c r="G49" s="3"/>
    </row>
    <row r="50" spans="1:7" x14ac:dyDescent="0.3">
      <c r="A50" s="88" t="s">
        <v>65</v>
      </c>
      <c r="B50" s="88"/>
      <c r="C50" s="88"/>
      <c r="D50" s="88"/>
      <c r="E50" s="88"/>
      <c r="F50" s="88"/>
      <c r="G50" s="88"/>
    </row>
    <row r="51" spans="1:7" x14ac:dyDescent="0.3">
      <c r="A51" s="88" t="s">
        <v>107</v>
      </c>
      <c r="B51" s="88"/>
      <c r="C51" s="88"/>
      <c r="D51" s="88"/>
      <c r="E51" s="88"/>
      <c r="F51" s="88"/>
      <c r="G51" s="88"/>
    </row>
    <row r="52" spans="1:7" x14ac:dyDescent="0.3">
      <c r="A52" s="88" t="s">
        <v>265</v>
      </c>
      <c r="B52" s="88"/>
      <c r="C52" s="88"/>
      <c r="D52" s="88"/>
      <c r="E52" s="88"/>
      <c r="F52" s="88"/>
      <c r="G52" s="88"/>
    </row>
    <row r="53" spans="1:7" x14ac:dyDescent="0.3">
      <c r="A53" s="105"/>
      <c r="B53" s="105"/>
      <c r="C53" s="105"/>
      <c r="D53" s="105"/>
      <c r="E53" s="105"/>
      <c r="F53" s="105"/>
      <c r="G53" s="105"/>
    </row>
    <row r="54" spans="1:7" x14ac:dyDescent="0.3">
      <c r="A54" s="73" t="s">
        <v>141</v>
      </c>
      <c r="B54" s="73"/>
      <c r="C54" s="73"/>
      <c r="D54" s="73"/>
      <c r="E54" s="73"/>
      <c r="F54" s="73"/>
      <c r="G54" s="73"/>
    </row>
    <row r="55" spans="1:7" ht="28.8" x14ac:dyDescent="0.3">
      <c r="A55" s="13" t="s">
        <v>49</v>
      </c>
      <c r="B55" s="19" t="s">
        <v>71</v>
      </c>
      <c r="C55" s="19" t="s">
        <v>143</v>
      </c>
      <c r="D55" s="13" t="s">
        <v>72</v>
      </c>
      <c r="E55" s="19" t="s">
        <v>62</v>
      </c>
      <c r="F55" s="13" t="s">
        <v>35</v>
      </c>
      <c r="G55" s="13" t="s">
        <v>17</v>
      </c>
    </row>
    <row r="56" spans="1:7" x14ac:dyDescent="0.3">
      <c r="A56" s="8" t="s">
        <v>87</v>
      </c>
      <c r="B56" s="14"/>
      <c r="C56" s="14"/>
      <c r="D56" s="4">
        <v>11.29</v>
      </c>
      <c r="E56" s="15">
        <f>ROUNDUP(B56/(68/3),0)*ROUNDUP((C56/2)+C4,0)</f>
        <v>0</v>
      </c>
      <c r="F56" s="4">
        <f>E56*D56</f>
        <v>0</v>
      </c>
    </row>
    <row r="57" spans="1:7" x14ac:dyDescent="0.3">
      <c r="A57" s="8" t="s">
        <v>88</v>
      </c>
      <c r="B57" s="15">
        <f>B56</f>
        <v>0</v>
      </c>
      <c r="C57" s="15">
        <f>C56</f>
        <v>0</v>
      </c>
      <c r="D57" s="4">
        <v>16.399999999999999</v>
      </c>
      <c r="E57" s="15">
        <f>ROUNDUP(B57/(56/3),0)*ROUNDUP((C57/2)+C4,0)</f>
        <v>0</v>
      </c>
      <c r="F57" s="4">
        <f t="shared" ref="F57:F65" si="4">E57*D57</f>
        <v>0</v>
      </c>
    </row>
    <row r="58" spans="1:7" x14ac:dyDescent="0.3">
      <c r="A58" s="8" t="s">
        <v>89</v>
      </c>
      <c r="B58" s="31">
        <f>B56</f>
        <v>0</v>
      </c>
      <c r="C58" s="15">
        <f>C56</f>
        <v>0</v>
      </c>
      <c r="D58" s="4">
        <v>13.09</v>
      </c>
      <c r="E58" s="15">
        <f>ROUNDUP(B58/(57/3),0)*ROUNDUP((C58/2)+C4,0)</f>
        <v>0</v>
      </c>
      <c r="F58" s="4">
        <f t="shared" si="4"/>
        <v>0</v>
      </c>
    </row>
    <row r="59" spans="1:7" x14ac:dyDescent="0.3">
      <c r="A59" s="8" t="s">
        <v>90</v>
      </c>
      <c r="B59" s="31">
        <f>B56</f>
        <v>0</v>
      </c>
      <c r="C59" s="15">
        <f>C56</f>
        <v>0</v>
      </c>
      <c r="D59" s="4">
        <v>9.59</v>
      </c>
      <c r="E59" s="15">
        <f>ROUNDUP(B59/(41/3),0)*ROUNDUP((C59/2)+C4,0)</f>
        <v>0</v>
      </c>
      <c r="F59" s="4">
        <f t="shared" si="4"/>
        <v>0</v>
      </c>
    </row>
    <row r="60" spans="1:7" x14ac:dyDescent="0.3">
      <c r="A60" s="8" t="s">
        <v>91</v>
      </c>
      <c r="B60" s="31">
        <f>B56</f>
        <v>0</v>
      </c>
      <c r="C60" s="15">
        <f>C56</f>
        <v>0</v>
      </c>
      <c r="D60" s="4">
        <v>12.43</v>
      </c>
      <c r="E60" s="15">
        <f>ROUNDUP(B60/(27/3),0)*ROUNDUP((C60/2)+C4,0)</f>
        <v>0</v>
      </c>
      <c r="F60" s="4">
        <f t="shared" si="4"/>
        <v>0</v>
      </c>
    </row>
    <row r="61" spans="1:7" x14ac:dyDescent="0.3">
      <c r="A61" s="8" t="s">
        <v>92</v>
      </c>
      <c r="B61" s="31">
        <f>B56</f>
        <v>0</v>
      </c>
      <c r="C61" s="15">
        <f>C56</f>
        <v>0</v>
      </c>
      <c r="D61" s="4">
        <v>10.02</v>
      </c>
      <c r="E61" s="15">
        <f>ROUNDUP(B61/(145/3),0)*ROUNDUP((C61/2)+C4,0)</f>
        <v>0</v>
      </c>
      <c r="F61" s="4">
        <f t="shared" si="4"/>
        <v>0</v>
      </c>
    </row>
    <row r="62" spans="1:7" x14ac:dyDescent="0.3">
      <c r="A62" s="9" t="s">
        <v>93</v>
      </c>
      <c r="B62" s="31">
        <f>B56</f>
        <v>0</v>
      </c>
      <c r="C62" s="15">
        <f>C56</f>
        <v>0</v>
      </c>
      <c r="D62" s="4">
        <v>25.99</v>
      </c>
      <c r="E62" s="15">
        <f>ROUNDUP((B62/40),0)*ROUNDUP((C62/4)+C4,0)</f>
        <v>0</v>
      </c>
      <c r="F62" s="4">
        <f t="shared" si="4"/>
        <v>0</v>
      </c>
      <c r="G62" s="1" t="s">
        <v>211</v>
      </c>
    </row>
    <row r="63" spans="1:7" x14ac:dyDescent="0.3">
      <c r="A63" s="9" t="s">
        <v>94</v>
      </c>
      <c r="B63" s="45" t="s">
        <v>86</v>
      </c>
      <c r="C63" s="66">
        <f>C56</f>
        <v>0</v>
      </c>
      <c r="D63" s="4">
        <v>8.99</v>
      </c>
      <c r="E63" s="15">
        <f>ROUNDUP((((C63/2)+C4)*4*2)/20, 0)</f>
        <v>0</v>
      </c>
      <c r="F63" s="4">
        <f t="shared" si="4"/>
        <v>0</v>
      </c>
    </row>
    <row r="64" spans="1:7" x14ac:dyDescent="0.3">
      <c r="A64" s="9" t="s">
        <v>203</v>
      </c>
      <c r="B64" s="31">
        <f>B56</f>
        <v>0</v>
      </c>
      <c r="C64" s="15">
        <f>C56</f>
        <v>0</v>
      </c>
      <c r="D64" s="4">
        <v>1.37</v>
      </c>
      <c r="E64" s="15">
        <f>ROUNDUP(((B64/16)*((C64/2)+C4)), 0)</f>
        <v>0</v>
      </c>
      <c r="F64" s="4">
        <f t="shared" si="4"/>
        <v>0</v>
      </c>
    </row>
    <row r="65" spans="1:7" ht="15" thickBot="1" x14ac:dyDescent="0.35">
      <c r="A65" s="9" t="s">
        <v>8</v>
      </c>
      <c r="B65" s="31">
        <f>B56</f>
        <v>0</v>
      </c>
      <c r="C65" s="16">
        <f>C56</f>
        <v>0</v>
      </c>
      <c r="D65" s="5">
        <v>8.68</v>
      </c>
      <c r="E65" s="16">
        <f>ROUNDUP(((B65*(C65+C4)*6)/100), 0)</f>
        <v>0</v>
      </c>
      <c r="F65" s="5">
        <f t="shared" si="4"/>
        <v>0</v>
      </c>
      <c r="G65" s="2"/>
    </row>
    <row r="66" spans="1:7" ht="15" thickBot="1" x14ac:dyDescent="0.35">
      <c r="A66" s="91" t="s">
        <v>35</v>
      </c>
      <c r="B66" s="91"/>
      <c r="C66" s="91"/>
      <c r="D66" s="91"/>
      <c r="E66" s="91"/>
      <c r="F66" s="6">
        <f>SUM(F56:F65)</f>
        <v>0</v>
      </c>
      <c r="G66" s="3"/>
    </row>
    <row r="67" spans="1:7" x14ac:dyDescent="0.3">
      <c r="A67" s="85" t="s">
        <v>96</v>
      </c>
      <c r="B67" s="85"/>
      <c r="C67" s="85"/>
      <c r="D67" s="85"/>
      <c r="E67" s="85"/>
      <c r="F67" s="85"/>
      <c r="G67" s="85"/>
    </row>
    <row r="68" spans="1:7" x14ac:dyDescent="0.3">
      <c r="A68" s="67" t="s">
        <v>106</v>
      </c>
      <c r="B68" s="67"/>
      <c r="C68" s="67"/>
      <c r="D68" s="67"/>
      <c r="E68" s="67"/>
      <c r="F68" s="67"/>
      <c r="G68" s="67"/>
    </row>
    <row r="69" spans="1:7" x14ac:dyDescent="0.3">
      <c r="A69" s="76" t="s">
        <v>95</v>
      </c>
      <c r="B69" s="76"/>
      <c r="C69" s="76"/>
      <c r="D69" s="76"/>
      <c r="E69" s="76"/>
      <c r="F69" s="76"/>
      <c r="G69" s="76"/>
    </row>
    <row r="70" spans="1:7" x14ac:dyDescent="0.3">
      <c r="A70" s="88" t="s">
        <v>269</v>
      </c>
      <c r="B70" s="88"/>
      <c r="C70" s="88"/>
      <c r="D70" s="88"/>
      <c r="E70" s="88"/>
      <c r="F70" s="88"/>
      <c r="G70" s="88"/>
    </row>
    <row r="71" spans="1:7" x14ac:dyDescent="0.3">
      <c r="A71" s="71"/>
      <c r="B71" s="71"/>
      <c r="C71" s="71"/>
      <c r="D71" s="71"/>
      <c r="E71" s="71"/>
      <c r="F71" s="71"/>
      <c r="G71" s="71"/>
    </row>
    <row r="72" spans="1:7" x14ac:dyDescent="0.3">
      <c r="A72" s="73" t="s">
        <v>67</v>
      </c>
      <c r="B72" s="73"/>
      <c r="C72" s="73"/>
      <c r="D72" s="73"/>
      <c r="E72" s="73"/>
      <c r="F72" s="73"/>
      <c r="G72" s="73"/>
    </row>
    <row r="73" spans="1:7" x14ac:dyDescent="0.3">
      <c r="A73" s="96" t="s">
        <v>49</v>
      </c>
      <c r="B73" s="96"/>
      <c r="C73" s="11"/>
      <c r="D73" s="11" t="s">
        <v>1</v>
      </c>
      <c r="E73" s="11" t="s">
        <v>0</v>
      </c>
      <c r="F73" s="11" t="s">
        <v>35</v>
      </c>
      <c r="G73" s="11" t="s">
        <v>17</v>
      </c>
    </row>
    <row r="74" spans="1:7" x14ac:dyDescent="0.3">
      <c r="A74" s="89" t="s">
        <v>36</v>
      </c>
      <c r="B74" s="89"/>
      <c r="C74" s="89"/>
      <c r="D74" s="4">
        <v>89.78</v>
      </c>
      <c r="E74" s="17"/>
      <c r="F74" s="4">
        <f t="shared" ref="F74:F91" si="5">D74*E74</f>
        <v>0</v>
      </c>
    </row>
    <row r="75" spans="1:7" x14ac:dyDescent="0.3">
      <c r="A75" s="89" t="s">
        <v>215</v>
      </c>
      <c r="B75" s="89"/>
      <c r="C75" s="89"/>
      <c r="D75" s="4">
        <v>31.14</v>
      </c>
      <c r="E75" s="17"/>
      <c r="F75" s="4">
        <f t="shared" si="5"/>
        <v>0</v>
      </c>
    </row>
    <row r="76" spans="1:7" x14ac:dyDescent="0.3">
      <c r="A76" s="89" t="s">
        <v>216</v>
      </c>
      <c r="B76" s="89"/>
      <c r="C76" s="89"/>
      <c r="D76" s="4">
        <v>9.02</v>
      </c>
      <c r="E76" s="17"/>
      <c r="F76" s="4">
        <f t="shared" si="5"/>
        <v>0</v>
      </c>
    </row>
    <row r="77" spans="1:7" x14ac:dyDescent="0.3">
      <c r="A77" s="89" t="s">
        <v>217</v>
      </c>
      <c r="B77" s="89"/>
      <c r="C77" s="89"/>
      <c r="D77" s="4">
        <v>4.7699999999999996</v>
      </c>
      <c r="E77" s="17"/>
      <c r="F77" s="4">
        <f t="shared" si="5"/>
        <v>0</v>
      </c>
    </row>
    <row r="78" spans="1:7" x14ac:dyDescent="0.3">
      <c r="A78" s="89" t="s">
        <v>297</v>
      </c>
      <c r="B78" s="89"/>
      <c r="C78" s="89"/>
      <c r="D78" s="4">
        <v>7.09</v>
      </c>
      <c r="E78" s="17"/>
      <c r="F78" s="4">
        <f t="shared" si="5"/>
        <v>0</v>
      </c>
    </row>
    <row r="79" spans="1:7" x14ac:dyDescent="0.3">
      <c r="A79" s="89" t="s">
        <v>218</v>
      </c>
      <c r="B79" s="89"/>
      <c r="C79" s="89"/>
      <c r="D79" s="4">
        <v>4.58</v>
      </c>
      <c r="E79" s="17"/>
      <c r="F79" s="4">
        <f t="shared" si="5"/>
        <v>0</v>
      </c>
    </row>
    <row r="80" spans="1:7" x14ac:dyDescent="0.3">
      <c r="A80" s="89" t="s">
        <v>37</v>
      </c>
      <c r="B80" s="89"/>
      <c r="C80" s="89"/>
      <c r="D80" s="4">
        <v>22.63</v>
      </c>
      <c r="E80" s="17"/>
      <c r="F80" s="4">
        <f t="shared" si="5"/>
        <v>0</v>
      </c>
    </row>
    <row r="81" spans="1:7" x14ac:dyDescent="0.3">
      <c r="A81" s="89" t="s">
        <v>38</v>
      </c>
      <c r="B81" s="89"/>
      <c r="C81" s="89"/>
      <c r="D81" s="4">
        <v>29.53</v>
      </c>
      <c r="E81" s="17"/>
      <c r="F81" s="4">
        <f t="shared" si="5"/>
        <v>0</v>
      </c>
    </row>
    <row r="82" spans="1:7" x14ac:dyDescent="0.3">
      <c r="A82" s="89" t="s">
        <v>39</v>
      </c>
      <c r="B82" s="89"/>
      <c r="C82" s="89"/>
      <c r="D82" s="4">
        <v>29.53</v>
      </c>
      <c r="E82" s="17"/>
      <c r="F82" s="4">
        <f t="shared" si="5"/>
        <v>0</v>
      </c>
    </row>
    <row r="83" spans="1:7" x14ac:dyDescent="0.3">
      <c r="A83" s="89" t="s">
        <v>198</v>
      </c>
      <c r="B83" s="89"/>
      <c r="C83" s="89"/>
      <c r="D83" s="4">
        <v>4.58</v>
      </c>
      <c r="E83" s="17"/>
      <c r="F83" s="4">
        <f>D83*E83</f>
        <v>0</v>
      </c>
    </row>
    <row r="84" spans="1:7" x14ac:dyDescent="0.3">
      <c r="A84" s="89" t="s">
        <v>195</v>
      </c>
      <c r="B84" s="89"/>
      <c r="C84" s="89"/>
      <c r="D84" s="4">
        <v>165.38</v>
      </c>
      <c r="E84" s="17"/>
      <c r="F84" s="4">
        <f>D84*E84</f>
        <v>0</v>
      </c>
    </row>
    <row r="85" spans="1:7" x14ac:dyDescent="0.3">
      <c r="A85" s="89" t="s">
        <v>40</v>
      </c>
      <c r="B85" s="89"/>
      <c r="C85" s="89"/>
      <c r="D85" s="4">
        <v>160.38999999999999</v>
      </c>
      <c r="E85" s="17"/>
      <c r="F85" s="4">
        <f>D85*E85</f>
        <v>0</v>
      </c>
    </row>
    <row r="86" spans="1:7" x14ac:dyDescent="0.3">
      <c r="A86" s="94" t="s">
        <v>45</v>
      </c>
      <c r="B86" s="94"/>
      <c r="C86" s="94"/>
      <c r="D86" s="4">
        <v>49.57</v>
      </c>
      <c r="E86" s="17"/>
      <c r="F86" s="4">
        <f t="shared" si="5"/>
        <v>0</v>
      </c>
    </row>
    <row r="87" spans="1:7" x14ac:dyDescent="0.3">
      <c r="A87" s="106" t="s">
        <v>46</v>
      </c>
      <c r="B87" s="106"/>
      <c r="C87" s="106"/>
      <c r="D87" s="4">
        <v>68.83</v>
      </c>
      <c r="E87" s="17"/>
      <c r="F87" s="4">
        <f t="shared" si="5"/>
        <v>0</v>
      </c>
    </row>
    <row r="88" spans="1:7" x14ac:dyDescent="0.3">
      <c r="A88" s="89" t="s">
        <v>298</v>
      </c>
      <c r="B88" s="89"/>
      <c r="C88" s="89"/>
      <c r="D88" s="4">
        <v>13.98</v>
      </c>
      <c r="E88" s="17"/>
      <c r="F88" s="4">
        <f t="shared" si="5"/>
        <v>0</v>
      </c>
      <c r="G88" s="1" t="s">
        <v>19</v>
      </c>
    </row>
    <row r="89" spans="1:7" x14ac:dyDescent="0.3">
      <c r="A89" s="89" t="s">
        <v>196</v>
      </c>
      <c r="B89" s="89"/>
      <c r="C89" s="89"/>
      <c r="D89" s="4">
        <v>5.99</v>
      </c>
      <c r="E89" s="17"/>
      <c r="F89" s="4">
        <f t="shared" si="5"/>
        <v>0</v>
      </c>
      <c r="G89" s="1" t="s">
        <v>19</v>
      </c>
    </row>
    <row r="90" spans="1:7" x14ac:dyDescent="0.3">
      <c r="A90" s="94" t="s">
        <v>204</v>
      </c>
      <c r="B90" s="94"/>
      <c r="C90" s="94"/>
      <c r="D90" s="4">
        <v>6.48</v>
      </c>
      <c r="E90" s="17"/>
      <c r="F90" s="4">
        <f t="shared" si="5"/>
        <v>0</v>
      </c>
    </row>
    <row r="91" spans="1:7" ht="15" thickBot="1" x14ac:dyDescent="0.35">
      <c r="A91" s="93" t="s">
        <v>7</v>
      </c>
      <c r="B91" s="93"/>
      <c r="C91" s="93"/>
      <c r="D91" s="4">
        <v>12.99</v>
      </c>
      <c r="E91" s="17"/>
      <c r="F91" s="4">
        <f t="shared" si="5"/>
        <v>0</v>
      </c>
      <c r="G91" s="1" t="s">
        <v>19</v>
      </c>
    </row>
    <row r="92" spans="1:7" ht="15" thickBot="1" x14ac:dyDescent="0.35">
      <c r="A92" s="91" t="s">
        <v>35</v>
      </c>
      <c r="B92" s="91"/>
      <c r="C92" s="91"/>
      <c r="D92" s="91"/>
      <c r="E92" s="91"/>
      <c r="F92" s="6">
        <f>SUM(F74:F91)</f>
        <v>0</v>
      </c>
      <c r="G92" s="3"/>
    </row>
    <row r="93" spans="1:7" x14ac:dyDescent="0.3">
      <c r="A93" s="92"/>
      <c r="B93" s="92"/>
      <c r="C93" s="92"/>
      <c r="D93" s="92"/>
      <c r="E93" s="92"/>
      <c r="F93" s="92"/>
      <c r="G93" s="92"/>
    </row>
    <row r="94" spans="1:7" x14ac:dyDescent="0.3">
      <c r="A94" s="73" t="s">
        <v>68</v>
      </c>
      <c r="B94" s="73"/>
      <c r="C94" s="73"/>
      <c r="D94" s="73"/>
      <c r="E94" s="73"/>
      <c r="F94" s="73"/>
      <c r="G94" s="73"/>
    </row>
    <row r="95" spans="1:7" x14ac:dyDescent="0.3">
      <c r="A95" s="96" t="s">
        <v>42</v>
      </c>
      <c r="B95" s="96"/>
      <c r="C95" s="96"/>
      <c r="D95" s="96"/>
      <c r="E95" s="20"/>
      <c r="F95" s="11" t="s">
        <v>77</v>
      </c>
      <c r="G95" s="11" t="s">
        <v>17</v>
      </c>
    </row>
    <row r="96" spans="1:7" x14ac:dyDescent="0.3">
      <c r="A96" s="76" t="s">
        <v>74</v>
      </c>
      <c r="B96" s="76"/>
      <c r="C96" s="76"/>
      <c r="D96" s="76"/>
      <c r="E96" s="76"/>
      <c r="F96" s="4">
        <f>F19</f>
        <v>0</v>
      </c>
    </row>
    <row r="97" spans="1:7" x14ac:dyDescent="0.3">
      <c r="A97" s="76" t="s">
        <v>139</v>
      </c>
      <c r="B97" s="76"/>
      <c r="C97" s="76"/>
      <c r="D97" s="76"/>
      <c r="E97" s="76"/>
      <c r="F97" s="4">
        <f>F33</f>
        <v>0</v>
      </c>
    </row>
    <row r="98" spans="1:7" x14ac:dyDescent="0.3">
      <c r="A98" s="76" t="s">
        <v>73</v>
      </c>
      <c r="B98" s="76"/>
      <c r="C98" s="76"/>
      <c r="D98" s="76"/>
      <c r="E98" s="76"/>
      <c r="F98" s="4">
        <f>F49</f>
        <v>0</v>
      </c>
    </row>
    <row r="99" spans="1:7" x14ac:dyDescent="0.3">
      <c r="A99" s="76" t="s">
        <v>186</v>
      </c>
      <c r="B99" s="76"/>
      <c r="C99" s="76"/>
      <c r="D99" s="76"/>
      <c r="E99" s="76"/>
      <c r="F99" s="4">
        <f>F66</f>
        <v>0</v>
      </c>
    </row>
    <row r="100" spans="1:7" ht="15" thickBot="1" x14ac:dyDescent="0.35">
      <c r="A100" s="87" t="s">
        <v>67</v>
      </c>
      <c r="B100" s="87"/>
      <c r="C100" s="87"/>
      <c r="D100" s="87"/>
      <c r="E100" s="87"/>
      <c r="F100" s="5">
        <f>F92</f>
        <v>0</v>
      </c>
      <c r="G100" s="2"/>
    </row>
    <row r="101" spans="1:7" ht="15" thickBot="1" x14ac:dyDescent="0.35">
      <c r="A101" s="91" t="s">
        <v>35</v>
      </c>
      <c r="B101" s="91"/>
      <c r="C101" s="91"/>
      <c r="D101" s="91"/>
      <c r="E101" s="91"/>
      <c r="F101" s="5">
        <f>SUM(F96:F100)</f>
        <v>0</v>
      </c>
      <c r="G101" s="2"/>
    </row>
  </sheetData>
  <protectedRanges>
    <protectedRange sqref="C3:C5" name="Formula Info"/>
  </protectedRanges>
  <mergeCells count="92">
    <mergeCell ref="A22:B22"/>
    <mergeCell ref="A12:C12"/>
    <mergeCell ref="A13:C13"/>
    <mergeCell ref="A15:C15"/>
    <mergeCell ref="A16:C16"/>
    <mergeCell ref="A17:C17"/>
    <mergeCell ref="A38:B38"/>
    <mergeCell ref="A39:B39"/>
    <mergeCell ref="A36:G36"/>
    <mergeCell ref="A101:E101"/>
    <mergeCell ref="A30:B30"/>
    <mergeCell ref="A31:B31"/>
    <mergeCell ref="A32:B32"/>
    <mergeCell ref="A34:G34"/>
    <mergeCell ref="A75:C75"/>
    <mergeCell ref="A74:C74"/>
    <mergeCell ref="A76:C76"/>
    <mergeCell ref="A37:B37"/>
    <mergeCell ref="A100:E100"/>
    <mergeCell ref="A99:E99"/>
    <mergeCell ref="A72:G72"/>
    <mergeCell ref="A94:G94"/>
    <mergeCell ref="A27:B27"/>
    <mergeCell ref="A28:B28"/>
    <mergeCell ref="A29:B29"/>
    <mergeCell ref="A49:E49"/>
    <mergeCell ref="A66:E66"/>
    <mergeCell ref="A42:B42"/>
    <mergeCell ref="A35:G35"/>
    <mergeCell ref="A43:B43"/>
    <mergeCell ref="A47:B47"/>
    <mergeCell ref="A44:B44"/>
    <mergeCell ref="A46:B46"/>
    <mergeCell ref="A48:B48"/>
    <mergeCell ref="A51:G51"/>
    <mergeCell ref="A45:B45"/>
    <mergeCell ref="A41:B41"/>
    <mergeCell ref="A40:B40"/>
    <mergeCell ref="A96:E96"/>
    <mergeCell ref="A97:E97"/>
    <mergeCell ref="A87:C87"/>
    <mergeCell ref="A88:C88"/>
    <mergeCell ref="A89:C89"/>
    <mergeCell ref="A90:C90"/>
    <mergeCell ref="A91:C91"/>
    <mergeCell ref="A77:C77"/>
    <mergeCell ref="A85:C85"/>
    <mergeCell ref="A78:C78"/>
    <mergeCell ref="A86:C86"/>
    <mergeCell ref="A92:E92"/>
    <mergeCell ref="A98:E98"/>
    <mergeCell ref="A50:G50"/>
    <mergeCell ref="A52:G52"/>
    <mergeCell ref="A80:C80"/>
    <mergeCell ref="A81:C81"/>
    <mergeCell ref="A82:C82"/>
    <mergeCell ref="A83:C83"/>
    <mergeCell ref="A84:C84"/>
    <mergeCell ref="A95:D95"/>
    <mergeCell ref="A73:B73"/>
    <mergeCell ref="A54:G54"/>
    <mergeCell ref="A79:C79"/>
    <mergeCell ref="A93:G93"/>
    <mergeCell ref="A53:G53"/>
    <mergeCell ref="A71:G71"/>
    <mergeCell ref="A69:G69"/>
    <mergeCell ref="A9:C9"/>
    <mergeCell ref="A10:C10"/>
    <mergeCell ref="A6:G6"/>
    <mergeCell ref="A7:B7"/>
    <mergeCell ref="I1:L11"/>
    <mergeCell ref="D3:G3"/>
    <mergeCell ref="A1:G1"/>
    <mergeCell ref="A2:B2"/>
    <mergeCell ref="A3:B3"/>
    <mergeCell ref="A5:G5"/>
    <mergeCell ref="A67:G67"/>
    <mergeCell ref="D4:G4"/>
    <mergeCell ref="A4:B4"/>
    <mergeCell ref="A70:G70"/>
    <mergeCell ref="A24:B24"/>
    <mergeCell ref="A11:C11"/>
    <mergeCell ref="A19:E19"/>
    <mergeCell ref="A33:E33"/>
    <mergeCell ref="A25:B25"/>
    <mergeCell ref="A14:C14"/>
    <mergeCell ref="A20:G20"/>
    <mergeCell ref="A23:B23"/>
    <mergeCell ref="A26:B26"/>
    <mergeCell ref="A21:G21"/>
    <mergeCell ref="A18:C18"/>
    <mergeCell ref="A8:C8"/>
  </mergeCells>
  <hyperlinks>
    <hyperlink ref="A9:B9" r:id="rId1" display="60cm Transparency Tube " xr:uid="{7B79DC0F-61A2-415D-A72F-913377C4843C}"/>
    <hyperlink ref="A10:B10" r:id="rId2" display="120cm Transparency Tube " xr:uid="{BFBDCABA-F97C-45E0-B8FE-340B77977DE6}"/>
    <hyperlink ref="A11:B11" r:id="rId3" display="One Gallon Bucket" xr:uid="{6C0EEEAD-6A6C-4470-8E8D-AB33717E0777}"/>
    <hyperlink ref="A12:B12" r:id="rId4" display="Squirt Bottle" xr:uid="{6CDCDBC1-9AC0-4CB0-8038-E257E47923F7}"/>
    <hyperlink ref="A14:B14" r:id="rId5" display="Waste Bin" xr:uid="{52EDE7F1-050A-49E6-BF28-94009BFFB296}"/>
    <hyperlink ref="A13:B13" r:id="rId6" display="Distilled Water" xr:uid="{70671A19-2B75-48C7-86EE-CF0E70B17282}"/>
    <hyperlink ref="A15:B15" r:id="rId7" display="Goggles" xr:uid="{178C333F-2A64-45B6-AD26-BF49D1A51B13}"/>
    <hyperlink ref="A17:B17" r:id="rId8" display="Conductivity Standard" xr:uid="{56EFA1E3-2DAF-4142-BFC6-6D112FF3A6AD}"/>
    <hyperlink ref="A8:B8" r:id="rId9" display="Standard Core Kit " xr:uid="{6E151D92-BFCA-476F-A0B7-9C0C13AB7D76}"/>
    <hyperlink ref="A23" r:id="rId10" xr:uid="{30CC3C73-A9B7-4F10-B4A6-1BC04E78CECF}"/>
    <hyperlink ref="A24" r:id="rId11" xr:uid="{F49AD93E-6497-4E9A-B3F9-0F78A39729E3}"/>
    <hyperlink ref="A25" r:id="rId12" xr:uid="{3804D83C-1AC4-4832-A75B-1FD56EE4C8C0}"/>
    <hyperlink ref="A26" r:id="rId13" xr:uid="{C05F5CE2-3BC3-4553-B6E7-46649340253C}"/>
    <hyperlink ref="A27" r:id="rId14" xr:uid="{AD58199B-E676-4958-A202-5DA2AA33335B}"/>
    <hyperlink ref="A28" r:id="rId15" xr:uid="{377DBBAF-F2FF-4B80-BCF3-F011482F12C5}"/>
    <hyperlink ref="A29" r:id="rId16" xr:uid="{78A842CF-5C27-461D-9EBE-7EF81A1336F1}"/>
    <hyperlink ref="A30" r:id="rId17" xr:uid="{7BD9D139-FB0B-499E-A3B7-7E7BF08F33C5}"/>
    <hyperlink ref="A74:B74" r:id="rId18" display="Secchi Disk" xr:uid="{BDC06F8C-7A8A-4737-A83A-A7CE0B82B8AD}"/>
    <hyperlink ref="A75:B75" r:id="rId19" display="Armored, Centigrade Thermometer" xr:uid="{7C1E890E-E9AC-46EE-A474-2AC6259627FA}"/>
    <hyperlink ref="A76:B76" r:id="rId20" display="Titrator &amp; Pink Tips (DO)" xr:uid="{E15E813F-EC12-4D74-9BC1-B71E17E19E64}"/>
    <hyperlink ref="A77:B77" r:id="rId21" display="20mL Titration Vial &amp; Cap (DO)" xr:uid="{69D3ADF7-F57E-4023-8986-FA20D516111B}"/>
    <hyperlink ref="A78:B78" r:id="rId22" display="60mL Glass Bottle (DO)" xr:uid="{F2B5E46E-73DF-4F30-B4F5-8398546DA4D8}"/>
    <hyperlink ref="A79:B79" r:id="rId23" display="10mL Plastic Test Tube &amp; Cap (pH)" xr:uid="{C7724F92-FC7F-406C-8A44-DE2082AA7F41}"/>
    <hyperlink ref="A80:B80" r:id="rId24" display="Octa Slide 2 Viewer (pH)" xr:uid="{FF2F1796-8219-4D98-80AA-A4A41A7ADCC9}"/>
    <hyperlink ref="A81:B81" r:id="rId25" display="Wide Range pH Octa-Slide 2 Bar (3-6.5) (pH)" xr:uid="{5CF8D5F8-CD6D-450F-8D82-110E2D1BD7F9}"/>
    <hyperlink ref="A82:B82" r:id="rId26" display="Wide Range pH Octa-Slide 2 Bar (7-10.5) (pH)" xr:uid="{16AB9162-E6E4-459E-82F2-5B1F352FE653}"/>
    <hyperlink ref="A83:B83" r:id="rId27" display="150mL Plastic Beaker" xr:uid="{4474D602-6BA7-4682-937C-B3C96BA71AE4}"/>
    <hyperlink ref="A84:B84" r:id="rId28" display="Gray Conductivity Meter" xr:uid="{37F5787C-A891-4176-8928-B932D58FD2DD}"/>
    <hyperlink ref="A85:B85" r:id="rId29" display="Refractometer" xr:uid="{F708587A-8BCE-4BD6-BF86-FD4131C4A5B6}"/>
    <hyperlink ref="A86" r:id="rId30" xr:uid="{F200C510-2229-4698-8F44-5962B04E5868}"/>
    <hyperlink ref="A87:B87" r:id="rId31" display="120cm Transparency Tube" xr:uid="{038531C8-97BD-4FF9-9578-910C7D4ABBD2}"/>
    <hyperlink ref="A16" r:id="rId32" xr:uid="{ED81AAD5-C4E0-4B7F-84B1-B727D7BE9E55}"/>
    <hyperlink ref="A88:B88" r:id="rId33" display="One Gallon Bucket" xr:uid="{CC8D5F1D-A1A4-4C0B-AF08-6A3F66A03B5A}"/>
    <hyperlink ref="A90:B90" r:id="rId34" display="Squirt Bottle" xr:uid="{BF6F5F33-26A7-4B3A-B660-5E8A2253ACCA}"/>
    <hyperlink ref="A89:B89" r:id="rId35" display="Waste Bin" xr:uid="{0E0D4CAA-B3ED-4865-992C-CD53F550C0D9}"/>
    <hyperlink ref="A91:B91" r:id="rId36" display="Goggles" xr:uid="{7731F176-6CD0-4514-ADE6-269027C07E37}"/>
    <hyperlink ref="A31" r:id="rId37" display="Distilled Water**" xr:uid="{C2D74AA9-0D45-4F58-A3D5-6429B2EBC7CA}"/>
    <hyperlink ref="A32" r:id="rId38" xr:uid="{C8506B66-98DD-400F-8204-85E31D3EE4D0}"/>
    <hyperlink ref="A56" r:id="rId39" display="Sulfuric Acid " xr:uid="{4AB4F717-8CAA-447E-9F1A-92D77C817B7A}"/>
    <hyperlink ref="A57" r:id="rId40" display="Alkaline Potassium Iodide with Azide " xr:uid="{F758D676-8EB2-4EC2-8A4F-861CB5BB63D9}"/>
    <hyperlink ref="A58" r:id="rId41" display="Manganous Sulfate Solution " xr:uid="{64B3963D-1245-4D36-8B4A-FE4B8C3E742F}"/>
    <hyperlink ref="A59" r:id="rId42" display="Starch Indicator Solution " xr:uid="{BFDD8C33-87CF-4A20-A680-3ABE05B64408}"/>
    <hyperlink ref="A60" r:id="rId43" display="Sodium Thiosulfate " xr:uid="{DE76F0BD-2C89-47D9-BAD7-4B23D81B0016}"/>
    <hyperlink ref="A61" r:id="rId44" display="Wide Range Indicator " xr:uid="{2DE20683-1061-4BE4-A0E6-E343C39EE784}"/>
    <hyperlink ref="A62" r:id="rId45" xr:uid="{1E7FA9EE-F547-47E8-866F-2B5D840CB6CD}"/>
    <hyperlink ref="A63" r:id="rId46" xr:uid="{1C52C343-82F8-499C-BC72-EED96FE63EB1}"/>
    <hyperlink ref="A64" r:id="rId47" display="Distilled Water**" xr:uid="{DCC236C7-589B-440B-8FAE-77E8E7189F70}"/>
    <hyperlink ref="A65" r:id="rId48" xr:uid="{304EBB77-C14C-4C86-BC72-0D9ED6AB2F30}"/>
    <hyperlink ref="A48" r:id="rId49" display="Conductivity Standard" xr:uid="{6A6DA75F-515C-451F-88F9-B2AD41446F18}"/>
    <hyperlink ref="A46" r:id="rId50" xr:uid="{E7286A6A-3FA8-4D74-9773-E03A45ABF24A}"/>
    <hyperlink ref="A44" r:id="rId51" display="Distilled Water" xr:uid="{75ADC9AF-E140-42F5-9358-851CCC84D531}"/>
    <hyperlink ref="A43" r:id="rId52" display="Squirt Bottle" xr:uid="{9C92DF77-409A-4E50-AD1B-A81A754BA77F}"/>
    <hyperlink ref="A45" r:id="rId53" display="Waste Bin" xr:uid="{E32D6DD9-1C54-4EF5-8FAF-CEACF05BC97D}"/>
    <hyperlink ref="A42" r:id="rId54" display="One Gallon Bucket" xr:uid="{16BB6023-4BC6-4D72-A52C-93EC138F85CE}"/>
    <hyperlink ref="A41" r:id="rId55" display="Refractometer " xr:uid="{FA3C1F1A-20A6-46AB-A567-95D11487983B}"/>
    <hyperlink ref="A40" r:id="rId56" display="120cm Transparency Tube " xr:uid="{025A0CCC-2649-4DF3-A641-2F219925D7B6}"/>
    <hyperlink ref="A39" r:id="rId57" display="60cm Transparency Tube " xr:uid="{486E3BA0-7A1B-49FE-9D73-C0507890E67C}"/>
    <hyperlink ref="A38" r:id="rId58" display="Standard Core Kit " xr:uid="{1C07B572-5A95-4A63-BE3F-979E8E4E7B88}"/>
    <hyperlink ref="A47" r:id="rId59" xr:uid="{74F5FDAF-DDB4-4A1C-8B01-40662BCC57E9}"/>
    <hyperlink ref="A10:C10" r:id="rId60" display="120cm Transparency Tube " xr:uid="{5FA0FBEA-948F-4107-BB8C-6E144261BB69}"/>
    <hyperlink ref="A40:B40" r:id="rId61" display="120cm Transparency Tube**" xr:uid="{7AF9A7C6-9816-4562-BBD9-132A6CB53F66}"/>
    <hyperlink ref="A87:C87" r:id="rId62" display="120cm Transparency Tube" xr:uid="{B70FC9DA-3B92-44B5-8C59-0B4A250EB562}"/>
    <hyperlink ref="A9:C9" r:id="rId63" display="60cm Transparency Tube " xr:uid="{122204DB-A2E2-40C8-92C4-2C9D918FC9F5}"/>
    <hyperlink ref="A39:B39" r:id="rId64" display="60cm Transparency Tube**" xr:uid="{A0B82D62-ECAC-42CA-AC10-1BE4918B70E8}"/>
    <hyperlink ref="A86:C86" r:id="rId65" display="60cm Transparency Tube" xr:uid="{AEF8AFCB-310F-428E-94D2-6EAF9B64330E}"/>
    <hyperlink ref="A30:B30" r:id="rId66" display="Batteries for Meter*" xr:uid="{48BA88B9-011B-4C8F-9B60-A28A56EB6914}"/>
    <hyperlink ref="A12:C12" r:id="rId67" display="DI Water Bottle" xr:uid="{C2E56408-2CF5-4871-8C54-449AAFFCD4EA}"/>
    <hyperlink ref="A43:B43" r:id="rId68" display="Squirt Bottle*" xr:uid="{0E2FBB05-2CE7-463F-87B0-975E86C08218}"/>
    <hyperlink ref="A90:C90" r:id="rId69" display="Squirt Bottle" xr:uid="{5899E5F7-6C73-40D6-A7BC-0E1C6031BF0C}"/>
    <hyperlink ref="A29:B29" r:id="rId70" display="Conductivity Standard " xr:uid="{F1CD28B4-F3E1-4DF4-8E03-33A0BD6BB252}"/>
    <hyperlink ref="A48:B48" r:id="rId71" display="Conductivity Standard**" xr:uid="{B4CC663A-DA58-412A-B4F7-DE09B2041861}"/>
    <hyperlink ref="A17:C17" r:id="rId72" display="Conductivity Standard" xr:uid="{2CD6C5D8-FC70-452F-9FFB-DB7E610D9E00}"/>
    <hyperlink ref="A18:B18" r:id="rId73" display="Refractometer " xr:uid="{04D5C804-25C5-4327-A482-4A1E8E9FBE3F}"/>
  </hyperlinks>
  <pageMargins left="0.7" right="0.7" top="0.75" bottom="0.75" header="0.3" footer="0.3"/>
  <pageSetup orientation="portrait" r:id="rId74"/>
  <legacyDrawing r:id="rId7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44E8-9F4E-4E77-BE15-0601668F3320}">
  <dimension ref="A1:L101"/>
  <sheetViews>
    <sheetView workbookViewId="0">
      <selection activeCell="A88" sqref="A88:C88"/>
    </sheetView>
  </sheetViews>
  <sheetFormatPr defaultRowHeight="14.4" x14ac:dyDescent="0.3"/>
  <cols>
    <col min="1" max="1" width="48.21875" customWidth="1"/>
    <col min="2" max="2" width="14.33203125" customWidth="1"/>
    <col min="3" max="3" width="16" customWidth="1"/>
    <col min="4" max="4" width="11.5546875" customWidth="1"/>
    <col min="5" max="5" width="14" customWidth="1"/>
    <col min="6" max="6" width="11.5546875" customWidth="1"/>
    <col min="7" max="7" width="67.6640625" customWidth="1"/>
  </cols>
  <sheetData>
    <row r="1" spans="1:12" x14ac:dyDescent="0.3">
      <c r="A1" s="73" t="s">
        <v>117</v>
      </c>
      <c r="B1" s="73"/>
      <c r="C1" s="73"/>
      <c r="D1" s="73"/>
      <c r="E1" s="73"/>
      <c r="F1" s="73"/>
      <c r="G1" s="73"/>
      <c r="I1" s="97" t="s">
        <v>145</v>
      </c>
      <c r="J1" s="98"/>
      <c r="K1" s="98"/>
      <c r="L1" s="99"/>
    </row>
    <row r="2" spans="1:12" x14ac:dyDescent="0.3">
      <c r="A2" s="96" t="s">
        <v>118</v>
      </c>
      <c r="B2" s="96"/>
      <c r="C2" s="11" t="s">
        <v>62</v>
      </c>
      <c r="D2" s="11"/>
      <c r="E2" s="11"/>
      <c r="F2" s="11"/>
      <c r="G2" s="11"/>
      <c r="I2" s="100"/>
      <c r="J2" s="70"/>
      <c r="K2" s="70"/>
      <c r="L2" s="101"/>
    </row>
    <row r="3" spans="1:12" x14ac:dyDescent="0.3">
      <c r="A3" s="76" t="s">
        <v>180</v>
      </c>
      <c r="B3" s="76"/>
      <c r="C3" s="17"/>
      <c r="D3" s="76"/>
      <c r="E3" s="76"/>
      <c r="F3" s="76"/>
      <c r="G3" s="76"/>
      <c r="I3" s="100"/>
      <c r="J3" s="70"/>
      <c r="K3" s="70"/>
      <c r="L3" s="101"/>
    </row>
    <row r="4" spans="1:12" ht="15" thickBot="1" x14ac:dyDescent="0.35">
      <c r="A4" s="87" t="s">
        <v>260</v>
      </c>
      <c r="B4" s="87"/>
      <c r="C4" s="32"/>
      <c r="D4" s="86"/>
      <c r="E4" s="86"/>
      <c r="F4" s="86"/>
      <c r="G4" s="86"/>
      <c r="I4" s="100"/>
      <c r="J4" s="70"/>
      <c r="K4" s="70"/>
      <c r="L4" s="101"/>
    </row>
    <row r="5" spans="1:12" x14ac:dyDescent="0.3">
      <c r="A5" s="112"/>
      <c r="B5" s="112"/>
      <c r="C5" s="112"/>
      <c r="D5" s="112"/>
      <c r="E5" s="112"/>
      <c r="F5" s="112"/>
      <c r="G5" s="112"/>
      <c r="I5" s="100"/>
      <c r="J5" s="70"/>
      <c r="K5" s="70"/>
      <c r="L5" s="101"/>
    </row>
    <row r="6" spans="1:12" x14ac:dyDescent="0.3">
      <c r="A6" s="73" t="s">
        <v>66</v>
      </c>
      <c r="B6" s="73"/>
      <c r="C6" s="73"/>
      <c r="D6" s="73"/>
      <c r="E6" s="73"/>
      <c r="F6" s="73"/>
      <c r="G6" s="95"/>
      <c r="I6" s="100"/>
      <c r="J6" s="70"/>
      <c r="K6" s="70"/>
      <c r="L6" s="101"/>
    </row>
    <row r="7" spans="1:12" x14ac:dyDescent="0.3">
      <c r="A7" s="96" t="s">
        <v>49</v>
      </c>
      <c r="B7" s="96"/>
      <c r="C7" s="11"/>
      <c r="D7" s="11" t="s">
        <v>1</v>
      </c>
      <c r="E7" s="11" t="s">
        <v>0</v>
      </c>
      <c r="F7" s="11" t="s">
        <v>2</v>
      </c>
      <c r="G7" s="11" t="s">
        <v>17</v>
      </c>
      <c r="I7" s="100"/>
      <c r="J7" s="70"/>
      <c r="K7" s="70"/>
      <c r="L7" s="101"/>
    </row>
    <row r="8" spans="1:12" x14ac:dyDescent="0.3">
      <c r="A8" s="94" t="s">
        <v>167</v>
      </c>
      <c r="B8" s="94"/>
      <c r="C8" s="94"/>
      <c r="D8" s="4">
        <v>461.99</v>
      </c>
      <c r="E8" s="17"/>
      <c r="F8" s="4">
        <f t="shared" ref="F8:F22" si="0">D8*E8</f>
        <v>0</v>
      </c>
      <c r="G8" s="1"/>
      <c r="I8" s="100"/>
      <c r="J8" s="70"/>
      <c r="K8" s="70"/>
      <c r="L8" s="101"/>
    </row>
    <row r="9" spans="1:12" x14ac:dyDescent="0.3">
      <c r="A9" s="94" t="s">
        <v>36</v>
      </c>
      <c r="B9" s="94"/>
      <c r="C9" s="94"/>
      <c r="D9" s="4">
        <v>89.78</v>
      </c>
      <c r="E9" s="17"/>
      <c r="F9" s="4">
        <f t="shared" ref="F9" si="1">D9*E9</f>
        <v>0</v>
      </c>
      <c r="G9" s="1" t="s">
        <v>171</v>
      </c>
      <c r="I9" s="100"/>
      <c r="J9" s="70"/>
      <c r="K9" s="70"/>
      <c r="L9" s="101"/>
    </row>
    <row r="10" spans="1:12" x14ac:dyDescent="0.3">
      <c r="A10" s="94" t="s">
        <v>215</v>
      </c>
      <c r="B10" s="94"/>
      <c r="C10" s="94"/>
      <c r="D10" s="4">
        <v>31.14</v>
      </c>
      <c r="E10" s="17"/>
      <c r="F10" s="4">
        <f>D10*E10</f>
        <v>0</v>
      </c>
      <c r="G10" s="1"/>
      <c r="I10" s="100"/>
      <c r="J10" s="70"/>
      <c r="K10" s="70"/>
      <c r="L10" s="101"/>
    </row>
    <row r="11" spans="1:12" x14ac:dyDescent="0.3">
      <c r="A11" s="94" t="s">
        <v>4</v>
      </c>
      <c r="B11" s="94"/>
      <c r="C11" s="94"/>
      <c r="D11" s="4">
        <v>49.57</v>
      </c>
      <c r="E11" s="17"/>
      <c r="F11" s="4">
        <f t="shared" si="0"/>
        <v>0</v>
      </c>
      <c r="G11" s="1" t="s">
        <v>20</v>
      </c>
      <c r="I11" s="102"/>
      <c r="J11" s="103"/>
      <c r="K11" s="103"/>
      <c r="L11" s="104"/>
    </row>
    <row r="12" spans="1:12" x14ac:dyDescent="0.3">
      <c r="A12" s="94" t="s">
        <v>44</v>
      </c>
      <c r="B12" s="94"/>
      <c r="C12" s="94"/>
      <c r="D12" s="4">
        <v>68.83</v>
      </c>
      <c r="E12" s="17"/>
      <c r="F12" s="4">
        <f t="shared" si="0"/>
        <v>0</v>
      </c>
      <c r="G12" s="1" t="s">
        <v>20</v>
      </c>
    </row>
    <row r="13" spans="1:12" x14ac:dyDescent="0.3">
      <c r="A13" s="89" t="s">
        <v>298</v>
      </c>
      <c r="B13" s="89"/>
      <c r="C13" s="89"/>
      <c r="D13" s="4">
        <v>13.98</v>
      </c>
      <c r="E13" s="17"/>
      <c r="F13" s="4">
        <f t="shared" si="0"/>
        <v>0</v>
      </c>
      <c r="G13" s="1" t="s">
        <v>19</v>
      </c>
    </row>
    <row r="14" spans="1:12" x14ac:dyDescent="0.3">
      <c r="A14" s="94" t="s">
        <v>204</v>
      </c>
      <c r="B14" s="94"/>
      <c r="C14" s="94"/>
      <c r="D14" s="4">
        <v>6.48</v>
      </c>
      <c r="E14" s="17"/>
      <c r="F14" s="4">
        <f t="shared" si="0"/>
        <v>0</v>
      </c>
      <c r="G14" s="1"/>
    </row>
    <row r="15" spans="1:12" x14ac:dyDescent="0.3">
      <c r="A15" s="89" t="s">
        <v>6</v>
      </c>
      <c r="B15" s="89"/>
      <c r="C15" s="89"/>
      <c r="D15" s="4">
        <v>1.37</v>
      </c>
      <c r="E15" s="17"/>
      <c r="F15" s="4">
        <f t="shared" si="0"/>
        <v>0</v>
      </c>
      <c r="G15" s="1"/>
    </row>
    <row r="16" spans="1:12" x14ac:dyDescent="0.3">
      <c r="A16" s="89" t="s">
        <v>196</v>
      </c>
      <c r="B16" s="89"/>
      <c r="C16" s="89"/>
      <c r="D16" s="4">
        <v>5.99</v>
      </c>
      <c r="E16" s="17"/>
      <c r="F16" s="4">
        <f>D16*E16</f>
        <v>0</v>
      </c>
      <c r="G16" s="1" t="s">
        <v>19</v>
      </c>
    </row>
    <row r="17" spans="1:7" x14ac:dyDescent="0.3">
      <c r="A17" s="89" t="s">
        <v>7</v>
      </c>
      <c r="B17" s="89"/>
      <c r="C17" s="89"/>
      <c r="D17" s="4">
        <v>12.99</v>
      </c>
      <c r="E17" s="17"/>
      <c r="F17" s="4">
        <f t="shared" si="0"/>
        <v>0</v>
      </c>
      <c r="G17" s="1" t="s">
        <v>19</v>
      </c>
    </row>
    <row r="18" spans="1:7" x14ac:dyDescent="0.3">
      <c r="A18" s="89" t="s">
        <v>8</v>
      </c>
      <c r="B18" s="89"/>
      <c r="C18" s="89"/>
      <c r="D18" s="4">
        <v>8.68</v>
      </c>
      <c r="E18" s="17"/>
      <c r="F18" s="4">
        <f>D18*E18</f>
        <v>0</v>
      </c>
      <c r="G18" s="1"/>
    </row>
    <row r="19" spans="1:7" x14ac:dyDescent="0.3">
      <c r="A19" s="106" t="s">
        <v>9</v>
      </c>
      <c r="B19" s="106"/>
      <c r="C19" s="106"/>
      <c r="D19" s="4">
        <v>25.99</v>
      </c>
      <c r="E19" s="17"/>
      <c r="F19" s="4">
        <f t="shared" si="0"/>
        <v>0</v>
      </c>
      <c r="G19" s="1"/>
    </row>
    <row r="20" spans="1:7" x14ac:dyDescent="0.3">
      <c r="A20" s="106" t="s">
        <v>168</v>
      </c>
      <c r="B20" s="106"/>
      <c r="C20" s="106"/>
      <c r="D20" s="4">
        <v>21.07</v>
      </c>
      <c r="E20" s="17"/>
      <c r="F20" s="4">
        <f t="shared" si="0"/>
        <v>0</v>
      </c>
      <c r="G20" s="1" t="s">
        <v>279</v>
      </c>
    </row>
    <row r="21" spans="1:7" x14ac:dyDescent="0.3">
      <c r="A21" s="106" t="s">
        <v>169</v>
      </c>
      <c r="B21" s="106"/>
      <c r="C21" s="106"/>
      <c r="D21" s="4">
        <v>22.02</v>
      </c>
      <c r="E21" s="17"/>
      <c r="F21" s="4">
        <f t="shared" si="0"/>
        <v>0</v>
      </c>
      <c r="G21" s="1" t="s">
        <v>279</v>
      </c>
    </row>
    <row r="22" spans="1:7" ht="15" thickBot="1" x14ac:dyDescent="0.35">
      <c r="A22" s="109" t="s">
        <v>170</v>
      </c>
      <c r="B22" s="109"/>
      <c r="C22" s="109"/>
      <c r="D22" s="5">
        <v>22.02</v>
      </c>
      <c r="E22" s="32"/>
      <c r="F22" s="5">
        <f t="shared" si="0"/>
        <v>0</v>
      </c>
      <c r="G22" s="2" t="s">
        <v>279</v>
      </c>
    </row>
    <row r="23" spans="1:7" ht="15" thickBot="1" x14ac:dyDescent="0.35">
      <c r="A23" s="91" t="s">
        <v>35</v>
      </c>
      <c r="B23" s="91"/>
      <c r="C23" s="91"/>
      <c r="D23" s="91"/>
      <c r="E23" s="91"/>
      <c r="F23" s="5">
        <f>SUM(F8:F22)</f>
        <v>0</v>
      </c>
      <c r="G23" s="2"/>
    </row>
    <row r="24" spans="1:7" x14ac:dyDescent="0.3">
      <c r="A24" s="92"/>
      <c r="B24" s="92"/>
      <c r="C24" s="92"/>
      <c r="D24" s="92"/>
      <c r="E24" s="92"/>
      <c r="F24" s="92"/>
      <c r="G24" s="92"/>
    </row>
    <row r="25" spans="1:7" x14ac:dyDescent="0.3">
      <c r="A25" s="73" t="s">
        <v>139</v>
      </c>
      <c r="B25" s="73"/>
      <c r="C25" s="73"/>
      <c r="D25" s="73"/>
      <c r="E25" s="73"/>
      <c r="F25" s="73"/>
      <c r="G25" s="73"/>
    </row>
    <row r="26" spans="1:7" ht="43.2" x14ac:dyDescent="0.3">
      <c r="A26" s="111" t="s">
        <v>49</v>
      </c>
      <c r="B26" s="111"/>
      <c r="C26" s="19" t="s">
        <v>103</v>
      </c>
      <c r="D26" s="13" t="s">
        <v>1</v>
      </c>
      <c r="E26" s="13" t="s">
        <v>0</v>
      </c>
      <c r="F26" s="13" t="s">
        <v>35</v>
      </c>
      <c r="G26" s="13" t="s">
        <v>17</v>
      </c>
    </row>
    <row r="27" spans="1:7" x14ac:dyDescent="0.3">
      <c r="A27" s="94" t="s">
        <v>15</v>
      </c>
      <c r="B27" s="94"/>
      <c r="C27" s="17"/>
      <c r="D27" s="4">
        <v>25.99</v>
      </c>
      <c r="E27" s="31">
        <f>ROUNDUP((C27/20)*12,0)</f>
        <v>0</v>
      </c>
      <c r="F27" s="4">
        <f>D27*E27</f>
        <v>0</v>
      </c>
      <c r="G27" s="1"/>
    </row>
    <row r="28" spans="1:7" x14ac:dyDescent="0.3">
      <c r="A28" s="94" t="s">
        <v>168</v>
      </c>
      <c r="B28" s="94"/>
      <c r="C28" s="31">
        <f>C27</f>
        <v>0</v>
      </c>
      <c r="D28" s="4">
        <v>21.07</v>
      </c>
      <c r="E28" s="33">
        <f>ROUNDUP((C28/10)*12,0)</f>
        <v>0</v>
      </c>
      <c r="F28" s="4">
        <f t="shared" ref="F28:F32" si="2">D28*E28</f>
        <v>0</v>
      </c>
      <c r="G28" s="1" t="s">
        <v>279</v>
      </c>
    </row>
    <row r="29" spans="1:7" x14ac:dyDescent="0.3">
      <c r="A29" s="94" t="s">
        <v>169</v>
      </c>
      <c r="B29" s="94"/>
      <c r="C29" s="31">
        <f>C27</f>
        <v>0</v>
      </c>
      <c r="D29" s="4">
        <v>22.02</v>
      </c>
      <c r="E29" s="31">
        <f>ROUNDUP((C29/10)*12,0)</f>
        <v>0</v>
      </c>
      <c r="F29" s="4">
        <f t="shared" si="2"/>
        <v>0</v>
      </c>
      <c r="G29" s="1" t="s">
        <v>279</v>
      </c>
    </row>
    <row r="30" spans="1:7" x14ac:dyDescent="0.3">
      <c r="A30" s="94" t="s">
        <v>170</v>
      </c>
      <c r="B30" s="94"/>
      <c r="C30" s="31">
        <f>C27</f>
        <v>0</v>
      </c>
      <c r="D30" s="4">
        <v>22.02</v>
      </c>
      <c r="E30" s="33">
        <f>ROUNDUP((C30/10)*12,0)</f>
        <v>0</v>
      </c>
      <c r="F30" s="4">
        <f t="shared" si="2"/>
        <v>0</v>
      </c>
      <c r="G30" s="1" t="s">
        <v>279</v>
      </c>
    </row>
    <row r="31" spans="1:7" x14ac:dyDescent="0.3">
      <c r="A31" s="108" t="s">
        <v>190</v>
      </c>
      <c r="B31" s="108"/>
      <c r="C31" s="45" t="s">
        <v>86</v>
      </c>
      <c r="D31" s="4">
        <v>82.95</v>
      </c>
      <c r="E31" s="31">
        <f>ROUNDUP(C3/6, 0)</f>
        <v>0</v>
      </c>
      <c r="F31" s="4">
        <f t="shared" si="2"/>
        <v>0</v>
      </c>
      <c r="G31" s="1" t="s">
        <v>183</v>
      </c>
    </row>
    <row r="32" spans="1:7" x14ac:dyDescent="0.3">
      <c r="A32" s="108" t="s">
        <v>172</v>
      </c>
      <c r="B32" s="108"/>
      <c r="C32" s="45" t="s">
        <v>86</v>
      </c>
      <c r="D32" s="4">
        <v>8.99</v>
      </c>
      <c r="E32" s="31">
        <f>ROUNDUP((C3*2*4)/20, 0)</f>
        <v>0</v>
      </c>
      <c r="F32" s="4">
        <f t="shared" si="2"/>
        <v>0</v>
      </c>
      <c r="G32" s="1"/>
    </row>
    <row r="33" spans="1:7" x14ac:dyDescent="0.3">
      <c r="A33" s="94" t="s">
        <v>6</v>
      </c>
      <c r="B33" s="94"/>
      <c r="C33" s="45">
        <f>C27</f>
        <v>0</v>
      </c>
      <c r="D33" s="4">
        <v>1.37</v>
      </c>
      <c r="E33" s="31">
        <f>ROUNDUP((C33/48)*12,0)</f>
        <v>0</v>
      </c>
      <c r="F33" s="4">
        <f>E33*D33</f>
        <v>0</v>
      </c>
      <c r="G33" s="1" t="s">
        <v>210</v>
      </c>
    </row>
    <row r="34" spans="1:7" ht="15" thickBot="1" x14ac:dyDescent="0.35">
      <c r="A34" s="109" t="s">
        <v>8</v>
      </c>
      <c r="B34" s="109"/>
      <c r="C34" s="31">
        <f>C27</f>
        <v>0</v>
      </c>
      <c r="D34" s="4">
        <v>8.68</v>
      </c>
      <c r="E34" s="31">
        <f>ROUNDUP((C34/50)*12,0)</f>
        <v>0</v>
      </c>
      <c r="F34" s="4">
        <f>E34*D34</f>
        <v>0</v>
      </c>
      <c r="G34" s="1"/>
    </row>
    <row r="35" spans="1:7" ht="15" thickBot="1" x14ac:dyDescent="0.35">
      <c r="A35" s="91" t="s">
        <v>35</v>
      </c>
      <c r="B35" s="91"/>
      <c r="C35" s="91"/>
      <c r="D35" s="91"/>
      <c r="E35" s="91"/>
      <c r="F35" s="6">
        <f>SUM(F27:F34)</f>
        <v>0</v>
      </c>
      <c r="G35" s="3"/>
    </row>
    <row r="36" spans="1:7" x14ac:dyDescent="0.3">
      <c r="A36" s="110" t="s">
        <v>173</v>
      </c>
      <c r="B36" s="110"/>
      <c r="C36" s="110"/>
      <c r="D36" s="110"/>
      <c r="E36" s="110"/>
      <c r="F36" s="110"/>
      <c r="G36" s="110"/>
    </row>
    <row r="37" spans="1:7" x14ac:dyDescent="0.3">
      <c r="A37" s="71"/>
      <c r="B37" s="71"/>
      <c r="C37" s="71"/>
      <c r="D37" s="71"/>
      <c r="E37" s="71"/>
      <c r="F37" s="71"/>
      <c r="G37" s="71"/>
    </row>
    <row r="38" spans="1:7" x14ac:dyDescent="0.3">
      <c r="A38" s="73" t="s">
        <v>76</v>
      </c>
      <c r="B38" s="73"/>
      <c r="C38" s="73"/>
      <c r="D38" s="73"/>
      <c r="E38" s="73"/>
      <c r="F38" s="73"/>
      <c r="G38" s="73"/>
    </row>
    <row r="39" spans="1:7" ht="28.8" x14ac:dyDescent="0.3">
      <c r="A39" s="111" t="s">
        <v>49</v>
      </c>
      <c r="B39" s="111"/>
      <c r="C39" s="19" t="s">
        <v>61</v>
      </c>
      <c r="D39" s="13" t="s">
        <v>1</v>
      </c>
      <c r="E39" s="13" t="s">
        <v>62</v>
      </c>
      <c r="F39" s="13" t="s">
        <v>2</v>
      </c>
      <c r="G39" s="13" t="s">
        <v>17</v>
      </c>
    </row>
    <row r="40" spans="1:7" x14ac:dyDescent="0.3">
      <c r="A40" s="108" t="s">
        <v>275</v>
      </c>
      <c r="B40" s="108"/>
      <c r="C40" s="17"/>
      <c r="D40" s="4">
        <v>461.99</v>
      </c>
      <c r="E40" s="31">
        <f>ROUNDUP((C40/2)+C4, 0)</f>
        <v>0</v>
      </c>
      <c r="F40" s="4">
        <f t="shared" ref="F40:F54" si="3">D40*E40</f>
        <v>0</v>
      </c>
      <c r="G40" s="1"/>
    </row>
    <row r="41" spans="1:7" x14ac:dyDescent="0.3">
      <c r="A41" s="108" t="s">
        <v>36</v>
      </c>
      <c r="B41" s="108"/>
      <c r="C41" s="31">
        <f>C40</f>
        <v>0</v>
      </c>
      <c r="D41" s="4">
        <v>89.78</v>
      </c>
      <c r="E41" s="31">
        <f>ROUNDUP((C41/2)+C4, 0)</f>
        <v>0</v>
      </c>
      <c r="F41" s="4">
        <f>D41*E41</f>
        <v>0</v>
      </c>
      <c r="G41" s="1"/>
    </row>
    <row r="42" spans="1:7" x14ac:dyDescent="0.3">
      <c r="A42" s="108" t="s">
        <v>215</v>
      </c>
      <c r="B42" s="108"/>
      <c r="C42" s="31">
        <f>C40</f>
        <v>0</v>
      </c>
      <c r="D42" s="4">
        <v>31.14</v>
      </c>
      <c r="E42" s="31">
        <f>ROUNDUP((C42/2)+C4, 0)</f>
        <v>0</v>
      </c>
      <c r="F42" s="4">
        <f t="shared" si="3"/>
        <v>0</v>
      </c>
      <c r="G42" s="1"/>
    </row>
    <row r="43" spans="1:7" x14ac:dyDescent="0.3">
      <c r="A43" s="108" t="s">
        <v>108</v>
      </c>
      <c r="B43" s="108"/>
      <c r="C43" s="31">
        <f>C40</f>
        <v>0</v>
      </c>
      <c r="D43" s="4">
        <v>49.57</v>
      </c>
      <c r="E43" s="31">
        <f>ROUNDUP((C43/4)+C4, 0)</f>
        <v>0</v>
      </c>
      <c r="F43" s="4">
        <f t="shared" si="3"/>
        <v>0</v>
      </c>
      <c r="G43" s="1" t="s">
        <v>20</v>
      </c>
    </row>
    <row r="44" spans="1:7" x14ac:dyDescent="0.3">
      <c r="A44" s="108" t="s">
        <v>109</v>
      </c>
      <c r="B44" s="108"/>
      <c r="C44" s="31">
        <f>C40</f>
        <v>0</v>
      </c>
      <c r="D44" s="4">
        <v>68.83</v>
      </c>
      <c r="E44" s="31">
        <f>ROUNDUP((C44/4)+C4, 0)</f>
        <v>0</v>
      </c>
      <c r="F44" s="4">
        <f t="shared" si="3"/>
        <v>0</v>
      </c>
      <c r="G44" s="1" t="s">
        <v>20</v>
      </c>
    </row>
    <row r="45" spans="1:7" x14ac:dyDescent="0.3">
      <c r="A45" s="108" t="s">
        <v>299</v>
      </c>
      <c r="B45" s="108"/>
      <c r="C45" s="31">
        <f>C40</f>
        <v>0</v>
      </c>
      <c r="D45" s="4">
        <v>13.98</v>
      </c>
      <c r="E45" s="31">
        <f>ROUNDUP((C45/4)+C4, 0)</f>
        <v>0</v>
      </c>
      <c r="F45" s="4">
        <f t="shared" si="3"/>
        <v>0</v>
      </c>
      <c r="G45" s="1" t="s">
        <v>19</v>
      </c>
    </row>
    <row r="46" spans="1:7" x14ac:dyDescent="0.3">
      <c r="A46" s="108" t="s">
        <v>205</v>
      </c>
      <c r="B46" s="108"/>
      <c r="C46" s="31">
        <f>C40</f>
        <v>0</v>
      </c>
      <c r="D46" s="4">
        <v>6.48</v>
      </c>
      <c r="E46" s="31">
        <f>ROUNDUP((C46/2)+C4, 0)</f>
        <v>0</v>
      </c>
      <c r="F46" s="4">
        <f t="shared" si="3"/>
        <v>0</v>
      </c>
      <c r="G46" s="1"/>
    </row>
    <row r="47" spans="1:7" x14ac:dyDescent="0.3">
      <c r="A47" s="108" t="s">
        <v>70</v>
      </c>
      <c r="B47" s="108"/>
      <c r="C47" s="31">
        <f>C40</f>
        <v>0</v>
      </c>
      <c r="D47" s="4">
        <v>1.37</v>
      </c>
      <c r="E47" s="31">
        <f>ROUNDUP(((C47/2)+C4)/8, 0)</f>
        <v>0</v>
      </c>
      <c r="F47" s="4">
        <f t="shared" si="3"/>
        <v>0</v>
      </c>
      <c r="G47" s="1"/>
    </row>
    <row r="48" spans="1:7" x14ac:dyDescent="0.3">
      <c r="A48" s="108" t="s">
        <v>197</v>
      </c>
      <c r="B48" s="108"/>
      <c r="C48" s="31">
        <f>C40</f>
        <v>0</v>
      </c>
      <c r="D48" s="4">
        <v>5.99</v>
      </c>
      <c r="E48" s="31">
        <f>ROUNDUP((C48/4)+C4, 0)</f>
        <v>0</v>
      </c>
      <c r="F48" s="4">
        <f>D48*E48</f>
        <v>0</v>
      </c>
      <c r="G48" s="1" t="s">
        <v>19</v>
      </c>
    </row>
    <row r="49" spans="1:7" x14ac:dyDescent="0.3">
      <c r="A49" s="108" t="s">
        <v>7</v>
      </c>
      <c r="B49" s="108"/>
      <c r="C49" s="31">
        <f>C40</f>
        <v>0</v>
      </c>
      <c r="D49" s="4">
        <v>12.99</v>
      </c>
      <c r="E49" s="31">
        <f>ROUNDUP(C49+C4, 0)</f>
        <v>0</v>
      </c>
      <c r="F49" s="4">
        <f t="shared" si="3"/>
        <v>0</v>
      </c>
      <c r="G49" s="1" t="s">
        <v>19</v>
      </c>
    </row>
    <row r="50" spans="1:7" x14ac:dyDescent="0.3">
      <c r="A50" s="94" t="s">
        <v>8</v>
      </c>
      <c r="B50" s="94"/>
      <c r="C50" s="46">
        <f>C40</f>
        <v>0</v>
      </c>
      <c r="D50" s="4">
        <v>8.68</v>
      </c>
      <c r="E50" s="31">
        <f>ROUNDUP(((C50+C4)*2*3)/100, 0)</f>
        <v>0</v>
      </c>
      <c r="F50" s="4">
        <f t="shared" si="3"/>
        <v>0</v>
      </c>
      <c r="G50" s="1"/>
    </row>
    <row r="51" spans="1:7" x14ac:dyDescent="0.3">
      <c r="A51" s="88" t="s">
        <v>93</v>
      </c>
      <c r="B51" s="88"/>
      <c r="C51" s="31">
        <f>C40</f>
        <v>0</v>
      </c>
      <c r="D51" s="4">
        <v>25.99</v>
      </c>
      <c r="E51" s="31">
        <f>ROUNDUP((C51/4)+C4, 0)</f>
        <v>0</v>
      </c>
      <c r="F51" s="4">
        <f t="shared" si="3"/>
        <v>0</v>
      </c>
      <c r="G51" s="1"/>
    </row>
    <row r="52" spans="1:7" x14ac:dyDescent="0.3">
      <c r="A52" s="94" t="s">
        <v>276</v>
      </c>
      <c r="B52" s="94"/>
      <c r="C52" s="31">
        <f>C40</f>
        <v>0</v>
      </c>
      <c r="D52" s="4">
        <v>21.07</v>
      </c>
      <c r="E52" s="31">
        <f>ROUNDUP((C52/2)+C4, 0)</f>
        <v>0</v>
      </c>
      <c r="F52" s="4">
        <f t="shared" si="3"/>
        <v>0</v>
      </c>
      <c r="G52" s="1" t="s">
        <v>279</v>
      </c>
    </row>
    <row r="53" spans="1:7" x14ac:dyDescent="0.3">
      <c r="A53" s="94" t="s">
        <v>277</v>
      </c>
      <c r="B53" s="94"/>
      <c r="C53" s="31">
        <f>C40</f>
        <v>0</v>
      </c>
      <c r="D53" s="4">
        <v>22.02</v>
      </c>
      <c r="E53" s="31">
        <f>ROUNDUP((C53/2)+C4, 0)</f>
        <v>0</v>
      </c>
      <c r="F53" s="4">
        <f t="shared" si="3"/>
        <v>0</v>
      </c>
      <c r="G53" s="1" t="s">
        <v>279</v>
      </c>
    </row>
    <row r="54" spans="1:7" ht="15" thickBot="1" x14ac:dyDescent="0.35">
      <c r="A54" s="94" t="s">
        <v>278</v>
      </c>
      <c r="B54" s="94"/>
      <c r="C54" s="34">
        <f>C40</f>
        <v>0</v>
      </c>
      <c r="D54" s="5">
        <v>22.02</v>
      </c>
      <c r="E54" s="31">
        <f>ROUNDUP((C54/2)+C4, 0)</f>
        <v>0</v>
      </c>
      <c r="F54" s="4">
        <f t="shared" si="3"/>
        <v>0</v>
      </c>
      <c r="G54" s="1" t="s">
        <v>279</v>
      </c>
    </row>
    <row r="55" spans="1:7" ht="15" thickBot="1" x14ac:dyDescent="0.35">
      <c r="A55" s="107" t="s">
        <v>2</v>
      </c>
      <c r="B55" s="107"/>
      <c r="C55" s="107"/>
      <c r="D55" s="107"/>
      <c r="E55" s="107"/>
      <c r="F55" s="6">
        <f>SUM(F40:F54)</f>
        <v>0</v>
      </c>
      <c r="G55" s="3"/>
    </row>
    <row r="56" spans="1:7" x14ac:dyDescent="0.3">
      <c r="A56" s="88" t="s">
        <v>65</v>
      </c>
      <c r="B56" s="88"/>
      <c r="C56" s="88"/>
      <c r="D56" s="88"/>
      <c r="E56" s="88"/>
      <c r="F56" s="88"/>
      <c r="G56" s="88"/>
    </row>
    <row r="57" spans="1:7" x14ac:dyDescent="0.3">
      <c r="A57" s="88" t="s">
        <v>107</v>
      </c>
      <c r="B57" s="88"/>
      <c r="C57" s="88"/>
      <c r="D57" s="88"/>
      <c r="E57" s="88"/>
      <c r="F57" s="88"/>
      <c r="G57" s="88"/>
    </row>
    <row r="58" spans="1:7" x14ac:dyDescent="0.3">
      <c r="A58" s="88" t="s">
        <v>265</v>
      </c>
      <c r="B58" s="88"/>
      <c r="C58" s="88"/>
      <c r="D58" s="88"/>
      <c r="E58" s="88"/>
      <c r="F58" s="88"/>
      <c r="G58" s="88"/>
    </row>
    <row r="59" spans="1:7" x14ac:dyDescent="0.3">
      <c r="A59" s="105"/>
      <c r="B59" s="105"/>
      <c r="C59" s="105"/>
      <c r="D59" s="105"/>
      <c r="E59" s="105"/>
      <c r="F59" s="105"/>
      <c r="G59" s="105"/>
    </row>
    <row r="60" spans="1:7" x14ac:dyDescent="0.3">
      <c r="A60" s="73" t="s">
        <v>141</v>
      </c>
      <c r="B60" s="73"/>
      <c r="C60" s="73"/>
      <c r="D60" s="73"/>
      <c r="E60" s="73"/>
      <c r="F60" s="73"/>
      <c r="G60" s="73"/>
    </row>
    <row r="61" spans="1:7" ht="28.8" x14ac:dyDescent="0.3">
      <c r="A61" s="13" t="s">
        <v>49</v>
      </c>
      <c r="B61" s="19" t="s">
        <v>71</v>
      </c>
      <c r="C61" s="19" t="s">
        <v>143</v>
      </c>
      <c r="D61" s="13" t="s">
        <v>72</v>
      </c>
      <c r="E61" s="19" t="s">
        <v>62</v>
      </c>
      <c r="F61" s="13" t="s">
        <v>35</v>
      </c>
      <c r="G61" s="13" t="s">
        <v>17</v>
      </c>
    </row>
    <row r="62" spans="1:7" x14ac:dyDescent="0.3">
      <c r="A62" s="9" t="s">
        <v>93</v>
      </c>
      <c r="B62" s="17"/>
      <c r="C62" s="14"/>
      <c r="D62" s="4">
        <v>25.99</v>
      </c>
      <c r="E62" s="15">
        <f>ROUNDUP((B62/40),0)*ROUNDUP((C62/4)+C4,0)</f>
        <v>0</v>
      </c>
      <c r="F62" s="4">
        <f>E62*D62</f>
        <v>0</v>
      </c>
      <c r="G62" s="1" t="s">
        <v>211</v>
      </c>
    </row>
    <row r="63" spans="1:7" x14ac:dyDescent="0.3">
      <c r="A63" s="51" t="s">
        <v>282</v>
      </c>
      <c r="B63" s="46">
        <f>B62</f>
        <v>0</v>
      </c>
      <c r="C63" s="15">
        <f>C62</f>
        <v>0</v>
      </c>
      <c r="D63" s="4">
        <v>21.07</v>
      </c>
      <c r="E63" s="15">
        <f>ROUNDUP(B63/20,0)*ROUNDUP((C63/2)+C4,0)</f>
        <v>0</v>
      </c>
      <c r="F63" s="4">
        <f>E63*D63</f>
        <v>0</v>
      </c>
      <c r="G63" s="1" t="s">
        <v>280</v>
      </c>
    </row>
    <row r="64" spans="1:7" x14ac:dyDescent="0.3">
      <c r="A64" s="51" t="s">
        <v>283</v>
      </c>
      <c r="B64" s="55">
        <f>B62</f>
        <v>0</v>
      </c>
      <c r="C64" s="15">
        <f>C62</f>
        <v>0</v>
      </c>
      <c r="D64" s="4">
        <v>22.02</v>
      </c>
      <c r="E64" s="15">
        <f>ROUNDUP(B64/20,0)*ROUNDUP((C64/2)+C4,0)</f>
        <v>0</v>
      </c>
      <c r="F64" s="4">
        <f t="shared" ref="F64:F69" si="4">E64*D64</f>
        <v>0</v>
      </c>
      <c r="G64" s="1" t="s">
        <v>280</v>
      </c>
    </row>
    <row r="65" spans="1:7" x14ac:dyDescent="0.3">
      <c r="A65" s="51" t="s">
        <v>284</v>
      </c>
      <c r="B65" s="55">
        <f>B62</f>
        <v>0</v>
      </c>
      <c r="C65" s="15">
        <f>C62</f>
        <v>0</v>
      </c>
      <c r="D65" s="4">
        <v>22.02</v>
      </c>
      <c r="E65" s="15">
        <f>ROUNDUP(B65/20,0)*ROUNDUP((C65/2)+C4,0)</f>
        <v>0</v>
      </c>
      <c r="F65" s="4">
        <f t="shared" si="4"/>
        <v>0</v>
      </c>
      <c r="G65" s="1" t="s">
        <v>280</v>
      </c>
    </row>
    <row r="66" spans="1:7" x14ac:dyDescent="0.3">
      <c r="A66" s="62" t="s">
        <v>190</v>
      </c>
      <c r="B66" s="46">
        <f>B62</f>
        <v>0</v>
      </c>
      <c r="C66" s="15">
        <f>C62</f>
        <v>0</v>
      </c>
      <c r="D66" s="4">
        <v>82.95</v>
      </c>
      <c r="E66" s="15">
        <f>ROUNDUP(((C66/2)+C4)/6, 0)</f>
        <v>0</v>
      </c>
      <c r="F66" s="4">
        <f t="shared" si="4"/>
        <v>0</v>
      </c>
      <c r="G66" s="1"/>
    </row>
    <row r="67" spans="1:7" x14ac:dyDescent="0.3">
      <c r="A67" s="24" t="s">
        <v>94</v>
      </c>
      <c r="B67" s="45" t="s">
        <v>86</v>
      </c>
      <c r="C67" s="15">
        <f>C62</f>
        <v>0</v>
      </c>
      <c r="D67" s="4">
        <v>8.99</v>
      </c>
      <c r="E67" s="15">
        <f>ROUNDUP((((C67/2)+C4)*2*4)/20, 0)</f>
        <v>0</v>
      </c>
      <c r="F67" s="4">
        <f t="shared" si="4"/>
        <v>0</v>
      </c>
      <c r="G67" s="1"/>
    </row>
    <row r="68" spans="1:7" x14ac:dyDescent="0.3">
      <c r="A68" s="9" t="s">
        <v>203</v>
      </c>
      <c r="B68" s="31">
        <f>B62</f>
        <v>0</v>
      </c>
      <c r="C68" s="15">
        <f>C62</f>
        <v>0</v>
      </c>
      <c r="D68" s="4">
        <v>1.37</v>
      </c>
      <c r="E68" s="15">
        <f>ROUNDUP(((B68/16)*((C68/2)+C4)), 0)</f>
        <v>0</v>
      </c>
      <c r="F68" s="4">
        <f t="shared" si="4"/>
        <v>0</v>
      </c>
      <c r="G68" s="1"/>
    </row>
    <row r="69" spans="1:7" ht="15" thickBot="1" x14ac:dyDescent="0.35">
      <c r="A69" s="9" t="s">
        <v>8</v>
      </c>
      <c r="B69" s="31">
        <f>B62</f>
        <v>0</v>
      </c>
      <c r="C69" s="16">
        <f>C62</f>
        <v>0</v>
      </c>
      <c r="D69" s="5">
        <v>8.68</v>
      </c>
      <c r="E69" s="16">
        <f>ROUNDUP(((B69*(C69+C4)*6)/100), 0)</f>
        <v>0</v>
      </c>
      <c r="F69" s="5">
        <f t="shared" si="4"/>
        <v>0</v>
      </c>
      <c r="G69" s="2"/>
    </row>
    <row r="70" spans="1:7" ht="15" thickBot="1" x14ac:dyDescent="0.35">
      <c r="A70" s="91" t="s">
        <v>35</v>
      </c>
      <c r="B70" s="91"/>
      <c r="C70" s="91"/>
      <c r="D70" s="91"/>
      <c r="E70" s="91"/>
      <c r="F70" s="6">
        <f>SUM(F62:F69)</f>
        <v>0</v>
      </c>
      <c r="G70" s="3"/>
    </row>
    <row r="71" spans="1:7" x14ac:dyDescent="0.3">
      <c r="A71" s="85" t="s">
        <v>96</v>
      </c>
      <c r="B71" s="85"/>
      <c r="C71" s="85"/>
      <c r="D71" s="85"/>
      <c r="E71" s="85"/>
      <c r="F71" s="85"/>
      <c r="G71" s="85"/>
    </row>
    <row r="72" spans="1:7" x14ac:dyDescent="0.3">
      <c r="A72" s="76" t="s">
        <v>106</v>
      </c>
      <c r="B72" s="76"/>
      <c r="C72" s="76"/>
      <c r="D72" s="76"/>
      <c r="E72" s="76"/>
      <c r="F72" s="76"/>
      <c r="G72" s="76"/>
    </row>
    <row r="73" spans="1:7" x14ac:dyDescent="0.3">
      <c r="A73" s="76" t="s">
        <v>95</v>
      </c>
      <c r="B73" s="76"/>
      <c r="C73" s="76"/>
      <c r="D73" s="76"/>
      <c r="E73" s="76"/>
      <c r="F73" s="76"/>
      <c r="G73" s="76"/>
    </row>
    <row r="74" spans="1:7" x14ac:dyDescent="0.3">
      <c r="A74" s="88" t="s">
        <v>268</v>
      </c>
      <c r="B74" s="88"/>
      <c r="C74" s="88"/>
      <c r="D74" s="88"/>
      <c r="E74" s="88"/>
      <c r="F74" s="88"/>
      <c r="G74" s="88"/>
    </row>
    <row r="75" spans="1:7" x14ac:dyDescent="0.3">
      <c r="A75" s="71"/>
      <c r="B75" s="71"/>
      <c r="C75" s="71"/>
      <c r="D75" s="71"/>
      <c r="E75" s="71"/>
      <c r="F75" s="71"/>
      <c r="G75" s="71"/>
    </row>
    <row r="76" spans="1:7" s="59" customFormat="1" x14ac:dyDescent="0.3">
      <c r="A76" s="73" t="s">
        <v>67</v>
      </c>
      <c r="B76" s="73"/>
      <c r="C76" s="73"/>
      <c r="D76" s="73"/>
      <c r="E76" s="73"/>
      <c r="F76" s="73"/>
      <c r="G76" s="73"/>
    </row>
    <row r="77" spans="1:7" s="59" customFormat="1" x14ac:dyDescent="0.3">
      <c r="A77" s="96" t="s">
        <v>49</v>
      </c>
      <c r="B77" s="96"/>
      <c r="C77" s="11"/>
      <c r="D77" s="11" t="s">
        <v>1</v>
      </c>
      <c r="E77" s="11" t="s">
        <v>0</v>
      </c>
      <c r="F77" s="11" t="s">
        <v>35</v>
      </c>
      <c r="G77" s="11" t="s">
        <v>17</v>
      </c>
    </row>
    <row r="78" spans="1:7" s="59" customFormat="1" x14ac:dyDescent="0.3">
      <c r="A78" s="94" t="s">
        <v>175</v>
      </c>
      <c r="B78" s="94"/>
      <c r="C78" s="94"/>
      <c r="D78" s="57">
        <v>288.27999999999997</v>
      </c>
      <c r="E78" s="56"/>
      <c r="F78" s="4">
        <f t="shared" ref="F78:F83" si="5">D78*E78</f>
        <v>0</v>
      </c>
      <c r="G78" s="53"/>
    </row>
    <row r="79" spans="1:7" s="59" customFormat="1" x14ac:dyDescent="0.3">
      <c r="A79" s="94" t="s">
        <v>174</v>
      </c>
      <c r="B79" s="94"/>
      <c r="C79" s="94"/>
      <c r="D79" s="57">
        <v>204</v>
      </c>
      <c r="E79" s="56"/>
      <c r="F79" s="4">
        <f t="shared" si="5"/>
        <v>0</v>
      </c>
      <c r="G79" s="53"/>
    </row>
    <row r="80" spans="1:7" s="59" customFormat="1" x14ac:dyDescent="0.3">
      <c r="A80" s="94" t="s">
        <v>178</v>
      </c>
      <c r="B80" s="94"/>
      <c r="C80" s="94"/>
      <c r="D80" s="57">
        <v>179</v>
      </c>
      <c r="E80" s="56"/>
      <c r="F80" s="4">
        <f t="shared" si="5"/>
        <v>0</v>
      </c>
      <c r="G80" s="53"/>
    </row>
    <row r="81" spans="1:7" s="59" customFormat="1" x14ac:dyDescent="0.3">
      <c r="A81" s="94" t="s">
        <v>179</v>
      </c>
      <c r="B81" s="94"/>
      <c r="C81" s="94"/>
      <c r="D81" s="57">
        <v>84.99</v>
      </c>
      <c r="E81" s="56"/>
      <c r="F81" s="4">
        <f t="shared" si="5"/>
        <v>0</v>
      </c>
      <c r="G81" s="53"/>
    </row>
    <row r="82" spans="1:7" x14ac:dyDescent="0.3">
      <c r="A82" s="94" t="s">
        <v>176</v>
      </c>
      <c r="B82" s="94"/>
      <c r="C82" s="94"/>
      <c r="D82" s="57">
        <v>22.14</v>
      </c>
      <c r="E82" s="56"/>
      <c r="F82" s="4">
        <f t="shared" si="5"/>
        <v>0</v>
      </c>
      <c r="G82" s="53"/>
    </row>
    <row r="83" spans="1:7" x14ac:dyDescent="0.3">
      <c r="A83" s="94" t="s">
        <v>177</v>
      </c>
      <c r="B83" s="94"/>
      <c r="C83" s="94"/>
      <c r="D83" s="57">
        <v>24.47</v>
      </c>
      <c r="E83" s="56"/>
      <c r="F83" s="4">
        <f t="shared" si="5"/>
        <v>0</v>
      </c>
      <c r="G83" s="53" t="s">
        <v>184</v>
      </c>
    </row>
    <row r="84" spans="1:7" x14ac:dyDescent="0.3">
      <c r="A84" s="94" t="s">
        <v>36</v>
      </c>
      <c r="B84" s="94"/>
      <c r="C84" s="94"/>
      <c r="D84" s="4">
        <v>89.78</v>
      </c>
      <c r="E84" s="17"/>
      <c r="F84" s="4">
        <f>D84*E84</f>
        <v>0</v>
      </c>
      <c r="G84" s="60"/>
    </row>
    <row r="85" spans="1:7" x14ac:dyDescent="0.3">
      <c r="A85" s="94" t="s">
        <v>222</v>
      </c>
      <c r="B85" s="94"/>
      <c r="C85" s="94"/>
      <c r="D85" s="4">
        <v>31.14</v>
      </c>
      <c r="E85" s="17"/>
      <c r="F85" s="4">
        <f>D85*E85</f>
        <v>0</v>
      </c>
      <c r="G85" s="60"/>
    </row>
    <row r="86" spans="1:7" x14ac:dyDescent="0.3">
      <c r="A86" s="94" t="s">
        <v>4</v>
      </c>
      <c r="B86" s="94"/>
      <c r="C86" s="94"/>
      <c r="D86" s="4">
        <v>49.57</v>
      </c>
      <c r="E86" s="17"/>
      <c r="F86" s="4">
        <f t="shared" ref="F86:F91" si="6">D86*E86</f>
        <v>0</v>
      </c>
      <c r="G86" s="60"/>
    </row>
    <row r="87" spans="1:7" x14ac:dyDescent="0.3">
      <c r="A87" s="94" t="s">
        <v>44</v>
      </c>
      <c r="B87" s="94"/>
      <c r="C87" s="94"/>
      <c r="D87" s="4">
        <v>68.83</v>
      </c>
      <c r="E87" s="17"/>
      <c r="F87" s="4">
        <f t="shared" si="6"/>
        <v>0</v>
      </c>
      <c r="G87" s="60"/>
    </row>
    <row r="88" spans="1:7" x14ac:dyDescent="0.3">
      <c r="A88" s="89" t="s">
        <v>298</v>
      </c>
      <c r="B88" s="89"/>
      <c r="C88" s="89"/>
      <c r="D88" s="4">
        <v>13.98</v>
      </c>
      <c r="E88" s="17"/>
      <c r="F88" s="4">
        <f t="shared" si="6"/>
        <v>0</v>
      </c>
      <c r="G88" s="60"/>
    </row>
    <row r="89" spans="1:7" x14ac:dyDescent="0.3">
      <c r="A89" s="94" t="s">
        <v>204</v>
      </c>
      <c r="B89" s="94"/>
      <c r="C89" s="94"/>
      <c r="D89" s="4">
        <v>6.48</v>
      </c>
      <c r="E89" s="17"/>
      <c r="F89" s="4">
        <f t="shared" si="6"/>
        <v>0</v>
      </c>
      <c r="G89" s="60"/>
    </row>
    <row r="90" spans="1:7" x14ac:dyDescent="0.3">
      <c r="A90" s="89" t="s">
        <v>196</v>
      </c>
      <c r="B90" s="89"/>
      <c r="C90" s="89"/>
      <c r="D90" s="4">
        <v>5.99</v>
      </c>
      <c r="E90" s="17"/>
      <c r="F90" s="4">
        <f>D90*E90</f>
        <v>0</v>
      </c>
      <c r="G90" s="60"/>
    </row>
    <row r="91" spans="1:7" ht="15" thickBot="1" x14ac:dyDescent="0.35">
      <c r="A91" s="89" t="s">
        <v>7</v>
      </c>
      <c r="B91" s="89"/>
      <c r="C91" s="89"/>
      <c r="D91" s="4">
        <v>12.99</v>
      </c>
      <c r="E91" s="17"/>
      <c r="F91" s="4">
        <f t="shared" si="6"/>
        <v>0</v>
      </c>
      <c r="G91" s="60"/>
    </row>
    <row r="92" spans="1:7" ht="15" thickBot="1" x14ac:dyDescent="0.35">
      <c r="A92" s="91" t="s">
        <v>35</v>
      </c>
      <c r="B92" s="91"/>
      <c r="C92" s="91"/>
      <c r="D92" s="91"/>
      <c r="E92" s="91"/>
      <c r="F92" s="6">
        <f>SUM(F78:F91)</f>
        <v>0</v>
      </c>
      <c r="G92" s="3"/>
    </row>
    <row r="93" spans="1:7" x14ac:dyDescent="0.3">
      <c r="A93" s="92"/>
      <c r="B93" s="92"/>
      <c r="C93" s="92"/>
      <c r="D93" s="92"/>
      <c r="E93" s="92"/>
      <c r="F93" s="92"/>
      <c r="G93" s="92"/>
    </row>
    <row r="94" spans="1:7" x14ac:dyDescent="0.3">
      <c r="A94" s="73" t="s">
        <v>68</v>
      </c>
      <c r="B94" s="73"/>
      <c r="C94" s="73"/>
      <c r="D94" s="73"/>
      <c r="E94" s="73"/>
      <c r="F94" s="73"/>
      <c r="G94" s="73"/>
    </row>
    <row r="95" spans="1:7" x14ac:dyDescent="0.3">
      <c r="A95" s="96" t="s">
        <v>42</v>
      </c>
      <c r="B95" s="96"/>
      <c r="C95" s="96"/>
      <c r="D95" s="96"/>
      <c r="E95" s="20"/>
      <c r="F95" s="11" t="s">
        <v>77</v>
      </c>
      <c r="G95" s="11" t="s">
        <v>17</v>
      </c>
    </row>
    <row r="96" spans="1:7" x14ac:dyDescent="0.3">
      <c r="A96" s="76" t="s">
        <v>74</v>
      </c>
      <c r="B96" s="76"/>
      <c r="C96" s="76"/>
      <c r="D96" s="76"/>
      <c r="E96" s="76"/>
      <c r="F96" s="4">
        <f>F23</f>
        <v>0</v>
      </c>
      <c r="G96" s="1"/>
    </row>
    <row r="97" spans="1:7" x14ac:dyDescent="0.3">
      <c r="A97" s="76" t="s">
        <v>139</v>
      </c>
      <c r="B97" s="76"/>
      <c r="C97" s="76"/>
      <c r="D97" s="76"/>
      <c r="E97" s="76"/>
      <c r="F97" s="4">
        <f>F35</f>
        <v>0</v>
      </c>
      <c r="G97" s="1"/>
    </row>
    <row r="98" spans="1:7" x14ac:dyDescent="0.3">
      <c r="A98" s="76" t="s">
        <v>73</v>
      </c>
      <c r="B98" s="76"/>
      <c r="C98" s="76"/>
      <c r="D98" s="76"/>
      <c r="E98" s="76"/>
      <c r="F98" s="4">
        <f>F55</f>
        <v>0</v>
      </c>
      <c r="G98" s="1"/>
    </row>
    <row r="99" spans="1:7" x14ac:dyDescent="0.3">
      <c r="A99" s="76" t="s">
        <v>186</v>
      </c>
      <c r="B99" s="76"/>
      <c r="C99" s="76"/>
      <c r="D99" s="76"/>
      <c r="E99" s="76"/>
      <c r="F99" s="4">
        <f>F70</f>
        <v>0</v>
      </c>
      <c r="G99" s="1"/>
    </row>
    <row r="100" spans="1:7" ht="15" thickBot="1" x14ac:dyDescent="0.35">
      <c r="A100" s="87" t="s">
        <v>67</v>
      </c>
      <c r="B100" s="87"/>
      <c r="C100" s="87"/>
      <c r="D100" s="87"/>
      <c r="E100" s="87"/>
      <c r="F100" s="5">
        <f>F92</f>
        <v>0</v>
      </c>
      <c r="G100" s="2"/>
    </row>
    <row r="101" spans="1:7" ht="15" thickBot="1" x14ac:dyDescent="0.35">
      <c r="A101" s="91" t="s">
        <v>35</v>
      </c>
      <c r="B101" s="91"/>
      <c r="C101" s="91"/>
      <c r="D101" s="91"/>
      <c r="E101" s="91"/>
      <c r="F101" s="5">
        <f>SUM(F96:F100)</f>
        <v>0</v>
      </c>
      <c r="G101" s="2"/>
    </row>
  </sheetData>
  <protectedRanges>
    <protectedRange sqref="C3:C4" name="Formula Info"/>
  </protectedRanges>
  <mergeCells count="95">
    <mergeCell ref="A78:C78"/>
    <mergeCell ref="A79:C79"/>
    <mergeCell ref="A80:C80"/>
    <mergeCell ref="A28:B28"/>
    <mergeCell ref="A31:B31"/>
    <mergeCell ref="A46:B46"/>
    <mergeCell ref="A47:B47"/>
    <mergeCell ref="A42:B42"/>
    <mergeCell ref="A41:B41"/>
    <mergeCell ref="A36:G36"/>
    <mergeCell ref="A43:B43"/>
    <mergeCell ref="A45:B45"/>
    <mergeCell ref="A73:G73"/>
    <mergeCell ref="A50:B50"/>
    <mergeCell ref="A51:B51"/>
    <mergeCell ref="A55:E55"/>
    <mergeCell ref="A56:G56"/>
    <mergeCell ref="A57:G57"/>
    <mergeCell ref="A58:G58"/>
    <mergeCell ref="A59:G59"/>
    <mergeCell ref="A60:G60"/>
    <mergeCell ref="A70:E70"/>
    <mergeCell ref="A72:G72"/>
    <mergeCell ref="A71:G71"/>
    <mergeCell ref="A93:G93"/>
    <mergeCell ref="A81:C81"/>
    <mergeCell ref="A82:C82"/>
    <mergeCell ref="A85:C85"/>
    <mergeCell ref="A86:C86"/>
    <mergeCell ref="A87:C87"/>
    <mergeCell ref="A83:C83"/>
    <mergeCell ref="A17:C17"/>
    <mergeCell ref="A88:C88"/>
    <mergeCell ref="A90:C90"/>
    <mergeCell ref="A89:C89"/>
    <mergeCell ref="A101:E101"/>
    <mergeCell ref="A44:B44"/>
    <mergeCell ref="A52:B52"/>
    <mergeCell ref="A53:B53"/>
    <mergeCell ref="A54:B54"/>
    <mergeCell ref="A95:D95"/>
    <mergeCell ref="A96:E96"/>
    <mergeCell ref="A97:E97"/>
    <mergeCell ref="A98:E98"/>
    <mergeCell ref="A99:E99"/>
    <mergeCell ref="A100:E100"/>
    <mergeCell ref="A92:E92"/>
    <mergeCell ref="A75:G75"/>
    <mergeCell ref="A94:G94"/>
    <mergeCell ref="A91:C91"/>
    <mergeCell ref="I1:L11"/>
    <mergeCell ref="A19:C19"/>
    <mergeCell ref="A1:G1"/>
    <mergeCell ref="A2:B2"/>
    <mergeCell ref="A3:B3"/>
    <mergeCell ref="A18:C18"/>
    <mergeCell ref="A6:G6"/>
    <mergeCell ref="A7:B7"/>
    <mergeCell ref="A8:C8"/>
    <mergeCell ref="A11:C11"/>
    <mergeCell ref="A12:C12"/>
    <mergeCell ref="A13:C13"/>
    <mergeCell ref="A10:C10"/>
    <mergeCell ref="A40:B40"/>
    <mergeCell ref="A9:C9"/>
    <mergeCell ref="D3:G3"/>
    <mergeCell ref="A84:C84"/>
    <mergeCell ref="A34:B34"/>
    <mergeCell ref="A35:E35"/>
    <mergeCell ref="A21:C21"/>
    <mergeCell ref="A22:C22"/>
    <mergeCell ref="A23:E23"/>
    <mergeCell ref="A24:G24"/>
    <mergeCell ref="A25:G25"/>
    <mergeCell ref="A32:B32"/>
    <mergeCell ref="A33:B33"/>
    <mergeCell ref="A26:B26"/>
    <mergeCell ref="A29:B29"/>
    <mergeCell ref="A30:B30"/>
    <mergeCell ref="A48:B48"/>
    <mergeCell ref="A76:G76"/>
    <mergeCell ref="A77:B77"/>
    <mergeCell ref="A4:B4"/>
    <mergeCell ref="D4:G4"/>
    <mergeCell ref="A5:G5"/>
    <mergeCell ref="A74:G74"/>
    <mergeCell ref="A16:C16"/>
    <mergeCell ref="A14:C14"/>
    <mergeCell ref="A15:C15"/>
    <mergeCell ref="A27:B27"/>
    <mergeCell ref="A20:C20"/>
    <mergeCell ref="A49:B49"/>
    <mergeCell ref="A37:G37"/>
    <mergeCell ref="A38:G38"/>
    <mergeCell ref="A39:B39"/>
  </mergeCells>
  <hyperlinks>
    <hyperlink ref="A8:B8" r:id="rId1" display="Standard Core Kit " xr:uid="{D0F4BB8B-6719-48F4-ACBD-1CBBFB6EB4B7}"/>
    <hyperlink ref="A32" r:id="rId2" display="Batteries for Meter*" xr:uid="{F816DC6E-6F0B-4FBF-A02D-3C80F2A76467}"/>
    <hyperlink ref="A33" r:id="rId3" display="Distilled Water**" xr:uid="{3D06BC8C-022E-426E-93D2-2CD27DA1000C}"/>
    <hyperlink ref="A34" r:id="rId4" xr:uid="{E40EA81E-0159-4408-A1F9-A20B55385E3D}"/>
    <hyperlink ref="A62" r:id="rId5" xr:uid="{967C7E98-294E-4C51-AF93-79C1F99EBE62}"/>
    <hyperlink ref="A67" r:id="rId6" xr:uid="{CA0635F9-8DA2-4EE6-B806-68B3F1344957}"/>
    <hyperlink ref="A68" r:id="rId7" display="Distilled Water**" xr:uid="{E64F5139-AFC4-4564-9710-DAA2BF2F5BEC}"/>
    <hyperlink ref="A69" r:id="rId8" xr:uid="{C3C90FE0-8EB0-4AEC-9209-A957FEDF7218}"/>
    <hyperlink ref="A40" r:id="rId9" display="Standard Core Kit " xr:uid="{CBF32A3B-7D2F-4B14-AB3A-4FB2EEF1F0B2}"/>
    <hyperlink ref="A27" r:id="rId10" xr:uid="{E10B250E-FC50-4601-B741-0C75E3B03405}"/>
    <hyperlink ref="A50" r:id="rId11" xr:uid="{6BF2B097-BB7E-49A7-BFEF-CB24ADC1C399}"/>
    <hyperlink ref="A43" r:id="rId12" display="60cm Transparency Tube " xr:uid="{68AFA0C5-6927-4C8E-AF31-84CBEE6B9694}"/>
    <hyperlink ref="A44" r:id="rId13" display="120cm Transparency Tube " xr:uid="{2C34E01E-4939-467C-A1B4-519C11F02699}"/>
    <hyperlink ref="A45" r:id="rId14" display="One Gallon Bucket" xr:uid="{EA8F2EB7-6753-48A9-BEC1-0C892A97745E}"/>
    <hyperlink ref="A48" r:id="rId15" display="Waste Bin" xr:uid="{D086CDBB-3E0E-45AB-8C31-83691A5EFA40}"/>
    <hyperlink ref="A46" r:id="rId16" display="Squirt Bottle" xr:uid="{BBF7AC9B-6AE9-4CF5-BA1A-EA4B9E1C119A}"/>
    <hyperlink ref="A47" r:id="rId17" display="Distilled Water" xr:uid="{1304A76E-032B-4C27-A470-DB1553BB3AB0}"/>
    <hyperlink ref="A49" r:id="rId18" xr:uid="{884D3976-6847-4962-A5F4-B0DE20953D63}"/>
    <hyperlink ref="A51" r:id="rId19" display="Conductivity Standard" xr:uid="{0B0072C2-3A52-4A9F-9BFC-CFBA03517899}"/>
    <hyperlink ref="A91:B91" r:id="rId20" display="Goggles" xr:uid="{C40F7F60-7A20-4C45-BE34-78464F6BCFB8}"/>
    <hyperlink ref="A90:B90" r:id="rId21" display="Waste Bin" xr:uid="{AB125CCF-B2EA-4CA6-AFD8-5E86520D0E76}"/>
    <hyperlink ref="A89:B89" r:id="rId22" display="Squirt Bottle" xr:uid="{B8CE096B-4DB7-4903-8E9B-163AC8A884C7}"/>
    <hyperlink ref="A88:B88" r:id="rId23" display="One Gallon Bucket" xr:uid="{9D7D53F0-7FFD-4E53-A40D-EC44CF3EF971}"/>
    <hyperlink ref="A87:B87" r:id="rId24" display="120cm Transparency Tube " xr:uid="{3972EFF7-10C9-4F9B-A7EE-5F647056588A}"/>
    <hyperlink ref="A86:B86" r:id="rId25" display="60cm Transparency Tube " xr:uid="{46254265-42ED-43FA-8915-320CF8CD102E}"/>
    <hyperlink ref="A8:C8" r:id="rId26" display="Probe Core Kit " xr:uid="{80FA4437-87E0-40DF-8745-FCD94F70329B}"/>
    <hyperlink ref="A10:C10" r:id="rId27" display="Armored Centigrade Thermometer" xr:uid="{9B5D8699-6A28-4267-B852-8ECBE6A490CC}"/>
    <hyperlink ref="A11:B11" r:id="rId28" display="60cm Transparency Tube " xr:uid="{B8F2489B-9DEF-4642-80C6-DC0B0F32C1D0}"/>
    <hyperlink ref="A12:B12" r:id="rId29" display="120cm Transparency Tube " xr:uid="{31201665-6551-4090-9F23-FA56409A8D8B}"/>
    <hyperlink ref="A13:B13" r:id="rId30" display="One Gallon Bucket" xr:uid="{6E5BAF72-C121-4CE7-89D1-554D80F9947C}"/>
    <hyperlink ref="A14:B14" r:id="rId31" display="Squirt Bottle" xr:uid="{51036C3A-D603-4575-8765-5EF1FF7FCAAA}"/>
    <hyperlink ref="A16:B16" r:id="rId32" display="Waste Bin" xr:uid="{5E5CA5C7-EAA9-4C02-8A94-22DA6DE0C14F}"/>
    <hyperlink ref="A15:B15" r:id="rId33" display="Distilled Water" xr:uid="{9B233B40-501F-4045-B69E-283E3B8F526A}"/>
    <hyperlink ref="A17:B17" r:id="rId34" display="Goggles" xr:uid="{22E3E882-A1CE-44B1-BEED-DC0B7529C92D}"/>
    <hyperlink ref="A19:B19" r:id="rId35" display="Conductivity Standard" xr:uid="{75614581-C891-41DB-A333-1DE93B3591E1}"/>
    <hyperlink ref="A18" r:id="rId36" xr:uid="{2C438F94-58CE-4C55-9239-5E6A31F488DC}"/>
    <hyperlink ref="A20:C20" r:id="rId37" display="pH 4 Buffer Solution" xr:uid="{62192964-0456-45D7-9A15-AB4A7B2EC322}"/>
    <hyperlink ref="A21:C21" r:id="rId38" display="pH 7 Buffer Solution" xr:uid="{A0A38542-B4A9-4833-94CF-EE671C3FEA2F}"/>
    <hyperlink ref="A22:C22" r:id="rId39" display="pH 10 Buffer Solution" xr:uid="{ABD24388-FEAD-457F-A22C-AE7E4B97880C}"/>
    <hyperlink ref="A79" r:id="rId40" xr:uid="{06CC2669-1062-44E2-8D74-1F74F7F95763}"/>
    <hyperlink ref="A78" r:id="rId41" xr:uid="{5270F029-D66B-4FC9-AA73-7A597DE4CAD0}"/>
    <hyperlink ref="A81:C81" r:id="rId42" display="pH/Conductivity Electrode" xr:uid="{BABE504D-FA12-4F6E-9ED9-205EE396D294}"/>
    <hyperlink ref="A80:C80" r:id="rId43" display="Dissolved Oxygen Electrode" xr:uid="{429AC004-EB52-45DE-9A74-8C530A45CA74}"/>
    <hyperlink ref="A82:C82" r:id="rId44" display="Sample Solution Cups" xr:uid="{0D592550-45DF-43E3-9ED8-EAFF0018EDD1}"/>
    <hyperlink ref="A83:C83" r:id="rId45" display="Weighted Base " xr:uid="{163A4719-2F00-4A2C-9BDF-F490597C4523}"/>
    <hyperlink ref="A12:C12" r:id="rId46" display="120cm Transparency Tube " xr:uid="{18EEB81F-D29D-4BA2-AB4B-98D4043E0D6E}"/>
    <hyperlink ref="A44:B44" r:id="rId47" display="120cm Transparency Tube**" xr:uid="{8C401731-8EE4-4531-80D6-247979F00C83}"/>
    <hyperlink ref="A87:C87" r:id="rId48" display="120cm Transparency Tube " xr:uid="{C669E3AB-4C3A-44B7-871F-80271C9AA416}"/>
    <hyperlink ref="A86:C86" r:id="rId49" display="60cm Transparency Tube " xr:uid="{7C0A090B-271A-4E19-9D75-3C3D87B4C330}"/>
    <hyperlink ref="A43:B43" r:id="rId50" display="60cm Transparency Tube**" xr:uid="{A48A98AE-1214-4E30-A93B-E939659E1835}"/>
    <hyperlink ref="A11:C11" r:id="rId51" display="60cm Transparency Tube " xr:uid="{E0EB7FDA-B758-4636-9353-C90AADD90281}"/>
    <hyperlink ref="A32:B32" r:id="rId52" display="Batteries for Meters*" xr:uid="{AB1B4BF2-7C77-4B4D-9E8B-7C3052A68355}"/>
    <hyperlink ref="A14:C14" r:id="rId53" display="Squirt Bottle" xr:uid="{CC219502-956B-4F96-8F3D-0D1C730AA06F}"/>
    <hyperlink ref="A46:B46" r:id="rId54" display="Squirt Bottle*" xr:uid="{38E20B46-1FC7-48CF-959F-CF624498F44F}"/>
    <hyperlink ref="A89:C89" r:id="rId55" display="Squirt Bottle" xr:uid="{91D43ED4-B925-4112-BF8C-974BE7A85C3D}"/>
    <hyperlink ref="A19:C19" r:id="rId56" display="Conductivity Standard" xr:uid="{8B236504-8A37-4925-A0CD-E4D0185C7569}"/>
    <hyperlink ref="A27:B27" r:id="rId57" display="Conductivity Standard " xr:uid="{4E7CD9CC-0F5A-4A65-A3B8-333D61ADD84E}"/>
    <hyperlink ref="A51:B51" r:id="rId58" display="Conductivity Standard**" xr:uid="{0B02B4BE-EB15-479F-9800-A3144F922382}"/>
    <hyperlink ref="A28:B28" r:id="rId59" display="pH 4 Buffer Solution" xr:uid="{279D7732-874B-4DE4-822E-2FEBD5D577D0}"/>
    <hyperlink ref="A29:B29" r:id="rId60" display="pH 7 Buffer Solution" xr:uid="{5ECF7356-1DEA-412F-82D6-218531DB6281}"/>
    <hyperlink ref="A30:B30" r:id="rId61" display="pH 10 Buffer Solution" xr:uid="{1A212442-CB0B-48C5-A2C0-8C53BDBC45B9}"/>
    <hyperlink ref="A31:B31" r:id="rId62" display="Membrane Kit ofr ExStik DO Meter" xr:uid="{DEEF5756-7D72-4B33-80F9-4E3334972996}"/>
    <hyperlink ref="A40:B40" r:id="rId63" display="Probe Core Kit*" xr:uid="{60B8FA84-2806-47DC-B881-132352823255}"/>
    <hyperlink ref="A42:B42" r:id="rId64" display="Armored Centigrade Thermometer" xr:uid="{ACA05CEF-0B6B-4641-AA3A-5B6CA8AF9CD2}"/>
    <hyperlink ref="A41:B41" r:id="rId65" display="Secchi Disk" xr:uid="{1A657118-239C-46A3-AB5E-D7A4C0EDEAE2}"/>
    <hyperlink ref="A52:B52" r:id="rId66" display="pH 4 Buffer Solution" xr:uid="{EFF9F83C-29A1-48CE-AA37-3C45071D702B}"/>
    <hyperlink ref="A53:B53" r:id="rId67" display="pH 7 Buffer Solution" xr:uid="{84337674-F208-4AAF-85C1-E6E6B97119A4}"/>
    <hyperlink ref="A54:B54" r:id="rId68" display="pH 10 Buffer Solution" xr:uid="{937873B8-FF27-4307-85FE-C14D93ADE7B9}"/>
    <hyperlink ref="A63" r:id="rId69" display="pH 4 Buffer Solution" xr:uid="{3BF3F989-03AD-4ED6-A7FB-0A134DDC7574}"/>
    <hyperlink ref="A65" r:id="rId70" display="pH 10 Buffer Solution" xr:uid="{D1B66D19-C04A-4C0E-A7DD-9D33D2A01005}"/>
    <hyperlink ref="A64" r:id="rId71" display="pH 7 Buffer Solution" xr:uid="{DBE92D24-B106-4023-9936-99CC7390BEB4}"/>
    <hyperlink ref="A66" r:id="rId72" xr:uid="{A8C249EC-FAC3-4179-B91E-AB143D87263E}"/>
    <hyperlink ref="A85:C85" r:id="rId73" display="Armored Centigrade Thermometer" xr:uid="{999A52DF-720D-467F-964A-669565FBAC96}"/>
    <hyperlink ref="A84" r:id="rId74" xr:uid="{8846995B-38A6-41D6-B597-6FA1091B594B}"/>
    <hyperlink ref="A9" r:id="rId75" xr:uid="{A3D63BD9-161B-498F-981E-8FAF42C7C266}"/>
  </hyperlinks>
  <pageMargins left="0.7" right="0.7" top="0.75" bottom="0.75" header="0.3" footer="0.3"/>
  <legacyDrawing r:id="rId7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4F4A-B73B-4107-A12F-1842D456E8B1}">
  <dimension ref="A1:L100"/>
  <sheetViews>
    <sheetView zoomScaleNormal="100" workbookViewId="0">
      <selection activeCell="A21" sqref="A21:C21"/>
    </sheetView>
  </sheetViews>
  <sheetFormatPr defaultColWidth="8.88671875" defaultRowHeight="14.4" x14ac:dyDescent="0.3"/>
  <cols>
    <col min="1" max="1" width="43.44140625" style="1" bestFit="1" customWidth="1"/>
    <col min="2" max="2" width="33.5546875" style="1" customWidth="1"/>
    <col min="3" max="3" width="14.88671875" style="1" customWidth="1"/>
    <col min="4" max="4" width="9.6640625" style="1" bestFit="1" customWidth="1"/>
    <col min="5" max="5" width="10" style="1" customWidth="1"/>
    <col min="6" max="6" width="15.33203125" style="1" customWidth="1"/>
    <col min="7" max="7" width="64.33203125" style="1" bestFit="1" customWidth="1"/>
    <col min="8" max="16384" width="8.88671875" style="1"/>
  </cols>
  <sheetData>
    <row r="1" spans="1:12" ht="14.4" customHeight="1" x14ac:dyDescent="0.3">
      <c r="A1" s="73" t="s">
        <v>117</v>
      </c>
      <c r="B1" s="73"/>
      <c r="C1" s="73"/>
      <c r="D1" s="73"/>
      <c r="E1" s="73"/>
      <c r="F1" s="73"/>
      <c r="G1" s="73"/>
      <c r="I1" s="97" t="s">
        <v>145</v>
      </c>
      <c r="J1" s="98"/>
      <c r="K1" s="98"/>
      <c r="L1" s="99"/>
    </row>
    <row r="2" spans="1:12" x14ac:dyDescent="0.3">
      <c r="A2" s="96" t="s">
        <v>118</v>
      </c>
      <c r="B2" s="96"/>
      <c r="C2" s="11" t="s">
        <v>62</v>
      </c>
      <c r="D2" s="11"/>
      <c r="E2" s="11"/>
      <c r="F2" s="11"/>
      <c r="G2" s="11"/>
      <c r="I2" s="100"/>
      <c r="J2" s="70"/>
      <c r="K2" s="70"/>
      <c r="L2" s="101"/>
    </row>
    <row r="3" spans="1:12" x14ac:dyDescent="0.3">
      <c r="A3" s="76" t="s">
        <v>146</v>
      </c>
      <c r="B3" s="76"/>
      <c r="C3" s="17"/>
      <c r="D3" s="31"/>
      <c r="E3" s="31"/>
      <c r="F3" s="31"/>
      <c r="G3" s="31"/>
      <c r="I3" s="100"/>
      <c r="J3" s="70"/>
      <c r="K3" s="70"/>
      <c r="L3" s="101"/>
    </row>
    <row r="4" spans="1:12" x14ac:dyDescent="0.3">
      <c r="A4" s="76" t="s">
        <v>119</v>
      </c>
      <c r="B4" s="76"/>
      <c r="C4" s="17"/>
      <c r="D4" s="31"/>
      <c r="E4" s="31"/>
      <c r="F4" s="31"/>
      <c r="G4" s="31"/>
      <c r="I4" s="100"/>
      <c r="J4" s="70"/>
      <c r="K4" s="70"/>
      <c r="L4" s="101"/>
    </row>
    <row r="5" spans="1:12" x14ac:dyDescent="0.3">
      <c r="A5" s="76" t="s">
        <v>120</v>
      </c>
      <c r="B5" s="76"/>
      <c r="C5" s="17"/>
      <c r="D5" s="31"/>
      <c r="E5" s="31"/>
      <c r="F5" s="31"/>
      <c r="G5" s="31"/>
      <c r="I5" s="100"/>
      <c r="J5" s="70"/>
      <c r="K5" s="70"/>
      <c r="L5" s="101"/>
    </row>
    <row r="6" spans="1:12" ht="15" thickBot="1" x14ac:dyDescent="0.35">
      <c r="A6" s="87" t="s">
        <v>260</v>
      </c>
      <c r="B6" s="87"/>
      <c r="C6" s="32"/>
      <c r="D6" s="86"/>
      <c r="E6" s="86"/>
      <c r="F6" s="86"/>
      <c r="G6" s="86"/>
      <c r="I6" s="100"/>
      <c r="J6" s="70"/>
      <c r="K6" s="70"/>
      <c r="L6" s="101"/>
    </row>
    <row r="7" spans="1:12" x14ac:dyDescent="0.3">
      <c r="C7" s="31"/>
      <c r="I7" s="100"/>
      <c r="J7" s="70"/>
      <c r="K7" s="70"/>
      <c r="L7" s="101"/>
    </row>
    <row r="8" spans="1:12" ht="14.4" customHeight="1" x14ac:dyDescent="0.3">
      <c r="A8" s="73" t="s">
        <v>138</v>
      </c>
      <c r="B8" s="73"/>
      <c r="C8" s="73"/>
      <c r="D8" s="73"/>
      <c r="E8" s="73"/>
      <c r="F8" s="73"/>
      <c r="G8" s="95"/>
      <c r="I8" s="100"/>
      <c r="J8" s="70"/>
      <c r="K8" s="70"/>
      <c r="L8" s="101"/>
    </row>
    <row r="9" spans="1:12" x14ac:dyDescent="0.3">
      <c r="A9" s="13" t="s">
        <v>49</v>
      </c>
      <c r="B9" s="19"/>
      <c r="C9" s="19"/>
      <c r="D9" s="13" t="s">
        <v>1</v>
      </c>
      <c r="E9" s="13" t="s">
        <v>0</v>
      </c>
      <c r="F9" s="13" t="s">
        <v>2</v>
      </c>
      <c r="G9" s="13" t="s">
        <v>17</v>
      </c>
      <c r="I9" s="100"/>
      <c r="J9" s="70"/>
      <c r="K9" s="70"/>
      <c r="L9" s="101"/>
    </row>
    <row r="10" spans="1:12" x14ac:dyDescent="0.3">
      <c r="A10" s="108" t="s">
        <v>188</v>
      </c>
      <c r="B10" s="108"/>
      <c r="C10" s="108"/>
      <c r="D10" s="4">
        <v>42.71</v>
      </c>
      <c r="E10" s="31">
        <f>ROUNDUP(((((C3+C4)*2)+C5)/10)*12,0)</f>
        <v>0</v>
      </c>
      <c r="F10" s="4">
        <f>D10*E10</f>
        <v>0</v>
      </c>
      <c r="G10" s="1" t="s">
        <v>162</v>
      </c>
      <c r="I10" s="100"/>
      <c r="J10" s="70"/>
      <c r="K10" s="70"/>
      <c r="L10" s="101"/>
    </row>
    <row r="11" spans="1:12" x14ac:dyDescent="0.3">
      <c r="A11" s="108" t="s">
        <v>189</v>
      </c>
      <c r="B11" s="108"/>
      <c r="C11" s="108"/>
      <c r="D11" s="4">
        <v>6.66</v>
      </c>
      <c r="E11" s="31">
        <f>ROUNDUP(((((C3+C4)*2)+C5)/10)*12,0)</f>
        <v>0</v>
      </c>
      <c r="F11" s="4">
        <f>D11*E11</f>
        <v>0</v>
      </c>
      <c r="G11" s="1" t="s">
        <v>162</v>
      </c>
      <c r="I11" s="100"/>
      <c r="J11" s="70"/>
      <c r="K11" s="70"/>
      <c r="L11" s="101"/>
    </row>
    <row r="12" spans="1:12" x14ac:dyDescent="0.3">
      <c r="A12" s="108" t="s">
        <v>114</v>
      </c>
      <c r="B12" s="108"/>
      <c r="C12" s="108"/>
      <c r="D12" s="4">
        <v>143.72999999999999</v>
      </c>
      <c r="E12" s="31">
        <f>ROUNDUP(((((C3+C4)*2)+C5)/50)*12,0)</f>
        <v>0</v>
      </c>
      <c r="F12" s="4">
        <f>D12*E12</f>
        <v>0</v>
      </c>
      <c r="G12" s="1" t="s">
        <v>147</v>
      </c>
      <c r="I12" s="100"/>
      <c r="J12" s="70"/>
      <c r="K12" s="70"/>
      <c r="L12" s="101"/>
    </row>
    <row r="13" spans="1:12" x14ac:dyDescent="0.3">
      <c r="A13" s="94" t="s">
        <v>194</v>
      </c>
      <c r="B13" s="94"/>
      <c r="C13" s="94"/>
      <c r="D13" s="4">
        <v>151.24</v>
      </c>
      <c r="E13" s="31">
        <f>ROUNDUP(((C4+C5)/500)*12,0)</f>
        <v>0</v>
      </c>
      <c r="F13" s="4">
        <f t="shared" ref="F13:F25" si="0">D13*E13</f>
        <v>0</v>
      </c>
      <c r="I13" s="61"/>
      <c r="J13" s="61"/>
      <c r="K13" s="61"/>
      <c r="L13" s="61"/>
    </row>
    <row r="14" spans="1:12" x14ac:dyDescent="0.3">
      <c r="A14" s="94" t="s">
        <v>193</v>
      </c>
      <c r="B14" s="94"/>
      <c r="C14" s="94"/>
      <c r="D14" s="4">
        <v>48.69</v>
      </c>
      <c r="E14" s="31">
        <f>ROUNDUP((C3/100)*12,0)</f>
        <v>0</v>
      </c>
      <c r="F14" s="4">
        <f t="shared" si="0"/>
        <v>0</v>
      </c>
      <c r="G14" s="1" t="s">
        <v>121</v>
      </c>
      <c r="I14" s="7"/>
      <c r="J14" s="7"/>
      <c r="K14" s="7"/>
      <c r="L14" s="7"/>
    </row>
    <row r="15" spans="1:12" x14ac:dyDescent="0.3">
      <c r="A15" s="94" t="s">
        <v>30</v>
      </c>
      <c r="B15" s="94"/>
      <c r="C15" s="94"/>
      <c r="D15" s="4">
        <v>25.99</v>
      </c>
      <c r="E15" s="31">
        <f>ROUNDUP(((C3+C4+C5)/100)*12,0)</f>
        <v>0</v>
      </c>
      <c r="F15" s="4">
        <f t="shared" si="0"/>
        <v>0</v>
      </c>
      <c r="I15" s="7"/>
      <c r="J15" s="7"/>
      <c r="K15" s="7"/>
      <c r="L15" s="7"/>
    </row>
    <row r="16" spans="1:12" x14ac:dyDescent="0.3">
      <c r="A16" s="94" t="s">
        <v>31</v>
      </c>
      <c r="B16" s="94"/>
      <c r="C16" s="94"/>
      <c r="D16" s="4">
        <v>15.69</v>
      </c>
      <c r="E16" s="31">
        <f>ROUNDUP((C5/50)*12,0)</f>
        <v>0</v>
      </c>
      <c r="F16" s="4">
        <f t="shared" si="0"/>
        <v>0</v>
      </c>
      <c r="G16" s="1" t="s">
        <v>288</v>
      </c>
      <c r="I16" s="7"/>
      <c r="J16" s="7"/>
      <c r="K16" s="7"/>
      <c r="L16" s="7"/>
    </row>
    <row r="17" spans="1:12" x14ac:dyDescent="0.3">
      <c r="A17" s="94" t="s">
        <v>34</v>
      </c>
      <c r="B17" s="94"/>
      <c r="C17" s="94"/>
      <c r="D17" s="4">
        <v>66</v>
      </c>
      <c r="E17" s="31">
        <f>C5</f>
        <v>0</v>
      </c>
      <c r="F17" s="4">
        <f t="shared" si="0"/>
        <v>0</v>
      </c>
      <c r="G17" s="1" t="s">
        <v>130</v>
      </c>
      <c r="I17" s="7"/>
      <c r="J17" s="7"/>
      <c r="K17" s="7"/>
      <c r="L17" s="7"/>
    </row>
    <row r="18" spans="1:12" customFormat="1" x14ac:dyDescent="0.3">
      <c r="A18" s="94" t="s">
        <v>56</v>
      </c>
      <c r="B18" s="94"/>
      <c r="C18" s="94"/>
      <c r="D18" s="4">
        <v>4.6900000000000004</v>
      </c>
      <c r="E18" s="31">
        <f>C5</f>
        <v>0</v>
      </c>
      <c r="F18" s="4">
        <f t="shared" si="0"/>
        <v>0</v>
      </c>
      <c r="G18" s="1" t="s">
        <v>129</v>
      </c>
      <c r="I18" s="7"/>
      <c r="J18" s="7"/>
      <c r="K18" s="7"/>
      <c r="L18" s="7"/>
    </row>
    <row r="19" spans="1:12" customFormat="1" x14ac:dyDescent="0.3">
      <c r="A19" s="94" t="s">
        <v>57</v>
      </c>
      <c r="B19" s="94"/>
      <c r="C19" s="94"/>
      <c r="D19" s="4">
        <v>23.6</v>
      </c>
      <c r="E19" s="31">
        <f>C5</f>
        <v>0</v>
      </c>
      <c r="F19" s="4">
        <f t="shared" si="0"/>
        <v>0</v>
      </c>
      <c r="G19" s="1" t="s">
        <v>129</v>
      </c>
      <c r="I19" s="7"/>
      <c r="J19" s="7"/>
      <c r="K19" s="7"/>
      <c r="L19" s="7"/>
    </row>
    <row r="20" spans="1:12" customFormat="1" x14ac:dyDescent="0.3">
      <c r="A20" s="108" t="s">
        <v>58</v>
      </c>
      <c r="B20" s="108"/>
      <c r="C20" s="108"/>
      <c r="D20" s="4">
        <v>124.5</v>
      </c>
      <c r="E20" s="31">
        <f>C5</f>
        <v>0</v>
      </c>
      <c r="F20" s="4">
        <f t="shared" si="0"/>
        <v>0</v>
      </c>
      <c r="G20" s="1" t="s">
        <v>128</v>
      </c>
    </row>
    <row r="21" spans="1:12" x14ac:dyDescent="0.3">
      <c r="A21" s="89" t="s">
        <v>298</v>
      </c>
      <c r="B21" s="89"/>
      <c r="C21" s="89"/>
      <c r="D21" s="4">
        <v>13.98</v>
      </c>
      <c r="E21" s="31">
        <f>C5</f>
        <v>0</v>
      </c>
      <c r="F21" s="4">
        <f t="shared" si="0"/>
        <v>0</v>
      </c>
      <c r="G21" s="1" t="s">
        <v>199</v>
      </c>
      <c r="I21" s="7"/>
      <c r="J21" s="7"/>
      <c r="K21" s="7"/>
      <c r="L21" s="7"/>
    </row>
    <row r="22" spans="1:12" x14ac:dyDescent="0.3">
      <c r="A22" s="94" t="s">
        <v>7</v>
      </c>
      <c r="B22" s="94"/>
      <c r="C22" s="94"/>
      <c r="D22" s="4">
        <v>12.99</v>
      </c>
      <c r="E22" s="31">
        <f>C5</f>
        <v>0</v>
      </c>
      <c r="F22" s="4">
        <f t="shared" si="0"/>
        <v>0</v>
      </c>
      <c r="G22" s="1" t="s">
        <v>130</v>
      </c>
    </row>
    <row r="23" spans="1:12" x14ac:dyDescent="0.3">
      <c r="A23" s="106" t="s">
        <v>8</v>
      </c>
      <c r="B23" s="106"/>
      <c r="C23" s="106"/>
      <c r="D23" s="4">
        <v>8.68</v>
      </c>
      <c r="E23" s="31">
        <f>C5</f>
        <v>0</v>
      </c>
      <c r="F23" s="4">
        <f t="shared" si="0"/>
        <v>0</v>
      </c>
      <c r="G23" s="1" t="s">
        <v>130</v>
      </c>
    </row>
    <row r="24" spans="1:12" x14ac:dyDescent="0.3">
      <c r="A24" s="94" t="s">
        <v>32</v>
      </c>
      <c r="B24" s="94"/>
      <c r="C24" s="94"/>
      <c r="D24" s="4">
        <v>1.28</v>
      </c>
      <c r="E24" s="31">
        <f>C5</f>
        <v>0</v>
      </c>
      <c r="F24" s="4">
        <f t="shared" si="0"/>
        <v>0</v>
      </c>
      <c r="G24" s="1" t="s">
        <v>130</v>
      </c>
    </row>
    <row r="25" spans="1:12" ht="15" thickBot="1" x14ac:dyDescent="0.35">
      <c r="A25" s="114" t="s">
        <v>33</v>
      </c>
      <c r="B25" s="114"/>
      <c r="C25" s="114"/>
      <c r="D25" s="5">
        <v>5.98</v>
      </c>
      <c r="E25" s="31">
        <f>C5</f>
        <v>0</v>
      </c>
      <c r="F25" s="4">
        <f t="shared" si="0"/>
        <v>0</v>
      </c>
      <c r="G25" s="1" t="s">
        <v>130</v>
      </c>
    </row>
    <row r="26" spans="1:12" ht="15" thickBot="1" x14ac:dyDescent="0.35">
      <c r="A26" s="91" t="s">
        <v>35</v>
      </c>
      <c r="B26" s="91"/>
      <c r="C26" s="91"/>
      <c r="D26" s="91"/>
      <c r="E26" s="91"/>
      <c r="F26" s="6">
        <f>SUM(F10:F25)</f>
        <v>0</v>
      </c>
      <c r="G26" s="3"/>
    </row>
    <row r="27" spans="1:12" x14ac:dyDescent="0.3">
      <c r="A27" s="113" t="s">
        <v>258</v>
      </c>
      <c r="B27" s="113"/>
      <c r="C27" s="113"/>
      <c r="D27" s="113"/>
      <c r="E27" s="113"/>
      <c r="F27" s="113"/>
      <c r="G27" s="113"/>
    </row>
    <row r="28" spans="1:12" x14ac:dyDescent="0.3">
      <c r="A28" s="75"/>
      <c r="B28" s="75"/>
      <c r="C28" s="75"/>
      <c r="D28" s="75"/>
      <c r="E28" s="75"/>
      <c r="F28" s="75"/>
      <c r="G28" s="75"/>
    </row>
    <row r="29" spans="1:12" x14ac:dyDescent="0.3">
      <c r="A29" s="76"/>
      <c r="B29" s="76"/>
      <c r="C29" s="76"/>
      <c r="D29" s="76"/>
      <c r="E29" s="76"/>
      <c r="F29" s="76"/>
      <c r="G29" s="76"/>
    </row>
    <row r="30" spans="1:12" x14ac:dyDescent="0.3">
      <c r="A30" s="73" t="s">
        <v>139</v>
      </c>
      <c r="B30" s="73"/>
      <c r="C30" s="73"/>
      <c r="D30" s="73"/>
      <c r="E30" s="73"/>
      <c r="F30" s="73"/>
      <c r="G30" s="73"/>
    </row>
    <row r="31" spans="1:12" x14ac:dyDescent="0.3">
      <c r="A31" s="37" t="s">
        <v>49</v>
      </c>
      <c r="B31" s="19"/>
      <c r="C31" s="19"/>
      <c r="D31" s="13" t="s">
        <v>1</v>
      </c>
      <c r="E31" s="13" t="s">
        <v>0</v>
      </c>
      <c r="F31" s="13" t="s">
        <v>35</v>
      </c>
      <c r="G31" s="13" t="s">
        <v>17</v>
      </c>
    </row>
    <row r="32" spans="1:12" x14ac:dyDescent="0.3">
      <c r="A32" s="108" t="s">
        <v>188</v>
      </c>
      <c r="B32" s="108"/>
      <c r="C32" s="108"/>
      <c r="D32" s="4">
        <v>42.71</v>
      </c>
      <c r="E32" s="31">
        <f>ROUNDUP(((((C3+C4)*2)+C5)/10)*12,0)</f>
        <v>0</v>
      </c>
      <c r="F32" s="4">
        <f>D32*E32</f>
        <v>0</v>
      </c>
      <c r="G32" s="1" t="s">
        <v>162</v>
      </c>
    </row>
    <row r="33" spans="1:7" x14ac:dyDescent="0.3">
      <c r="A33" s="108" t="s">
        <v>189</v>
      </c>
      <c r="B33" s="108"/>
      <c r="C33" s="108"/>
      <c r="D33" s="4">
        <v>6.66</v>
      </c>
      <c r="E33" s="31">
        <f>ROUNDUP(((((C3+C4)*2)+C5)/10)*12,0)</f>
        <v>0</v>
      </c>
      <c r="F33" s="4">
        <f>D33*E33</f>
        <v>0</v>
      </c>
      <c r="G33" s="1" t="s">
        <v>162</v>
      </c>
    </row>
    <row r="34" spans="1:7" x14ac:dyDescent="0.3">
      <c r="A34" s="108" t="s">
        <v>114</v>
      </c>
      <c r="B34" s="108"/>
      <c r="C34" s="108"/>
      <c r="D34" s="4">
        <v>143.72999999999999</v>
      </c>
      <c r="E34" s="31">
        <f>ROUNDUP(((((C3+C4)*2)+C5)/50)*12,0)</f>
        <v>0</v>
      </c>
      <c r="F34" s="4">
        <f>D34*E34</f>
        <v>0</v>
      </c>
      <c r="G34" s="1" t="s">
        <v>147</v>
      </c>
    </row>
    <row r="35" spans="1:7" x14ac:dyDescent="0.3">
      <c r="A35" s="94" t="s">
        <v>194</v>
      </c>
      <c r="B35" s="94"/>
      <c r="C35" s="94"/>
      <c r="D35" s="4">
        <v>151.24</v>
      </c>
      <c r="E35" s="31">
        <f>ROUNDUP(((C4+C5)/500)*12,0)</f>
        <v>0</v>
      </c>
      <c r="F35" s="4">
        <f t="shared" ref="F35:F41" si="1">D35*E35</f>
        <v>0</v>
      </c>
    </row>
    <row r="36" spans="1:7" x14ac:dyDescent="0.3">
      <c r="A36" s="94" t="s">
        <v>193</v>
      </c>
      <c r="B36" s="94"/>
      <c r="C36" s="94"/>
      <c r="D36" s="4">
        <v>48.69</v>
      </c>
      <c r="E36" s="31">
        <f>ROUNDUP((C3/100)*12,0)</f>
        <v>0</v>
      </c>
      <c r="F36" s="4">
        <f t="shared" si="1"/>
        <v>0</v>
      </c>
    </row>
    <row r="37" spans="1:7" x14ac:dyDescent="0.3">
      <c r="A37" s="94" t="s">
        <v>30</v>
      </c>
      <c r="B37" s="94"/>
      <c r="C37" s="94"/>
      <c r="D37" s="4">
        <v>25.99</v>
      </c>
      <c r="E37" s="31">
        <f>ROUNDUP(((C3+C4+C5)/100)*12,0)</f>
        <v>0</v>
      </c>
      <c r="F37" s="4">
        <f t="shared" si="1"/>
        <v>0</v>
      </c>
    </row>
    <row r="38" spans="1:7" x14ac:dyDescent="0.3">
      <c r="A38" s="94" t="s">
        <v>31</v>
      </c>
      <c r="B38" s="94"/>
      <c r="C38" s="94"/>
      <c r="D38" s="4">
        <v>15.69</v>
      </c>
      <c r="E38" s="31">
        <f>ROUNDUP((C5/50)*12,0)</f>
        <v>0</v>
      </c>
      <c r="F38" s="4">
        <f t="shared" si="1"/>
        <v>0</v>
      </c>
      <c r="G38" s="1" t="s">
        <v>122</v>
      </c>
    </row>
    <row r="39" spans="1:7" x14ac:dyDescent="0.3">
      <c r="A39" s="106" t="s">
        <v>8</v>
      </c>
      <c r="B39" s="106"/>
      <c r="C39" s="106"/>
      <c r="D39" s="4">
        <v>8.68</v>
      </c>
      <c r="E39" s="31">
        <f>ROUNDUP((((C3+C4)*2)/100)*12,0)</f>
        <v>0</v>
      </c>
      <c r="F39" s="4">
        <f t="shared" si="1"/>
        <v>0</v>
      </c>
      <c r="G39" s="1" t="s">
        <v>123</v>
      </c>
    </row>
    <row r="40" spans="1:7" x14ac:dyDescent="0.3">
      <c r="A40" s="94" t="s">
        <v>32</v>
      </c>
      <c r="B40" s="94"/>
      <c r="C40" s="94"/>
      <c r="D40" s="4">
        <v>1.28</v>
      </c>
      <c r="E40" s="31">
        <f>C5</f>
        <v>0</v>
      </c>
      <c r="F40" s="4">
        <f t="shared" si="1"/>
        <v>0</v>
      </c>
      <c r="G40" s="1" t="s">
        <v>130</v>
      </c>
    </row>
    <row r="41" spans="1:7" ht="15" thickBot="1" x14ac:dyDescent="0.35">
      <c r="A41" s="109" t="s">
        <v>33</v>
      </c>
      <c r="B41" s="109"/>
      <c r="C41" s="109"/>
      <c r="D41" s="4">
        <v>5.98</v>
      </c>
      <c r="E41" s="31">
        <f>C5</f>
        <v>0</v>
      </c>
      <c r="F41" s="4">
        <f t="shared" si="1"/>
        <v>0</v>
      </c>
      <c r="G41" s="2" t="s">
        <v>130</v>
      </c>
    </row>
    <row r="42" spans="1:7" ht="15" thickBot="1" x14ac:dyDescent="0.35">
      <c r="A42" s="115" t="s">
        <v>35</v>
      </c>
      <c r="B42" s="115"/>
      <c r="C42" s="115"/>
      <c r="D42" s="115"/>
      <c r="E42" s="115"/>
      <c r="F42" s="43">
        <f>SUM(F32:F41)</f>
        <v>0</v>
      </c>
      <c r="G42" s="44"/>
    </row>
    <row r="43" spans="1:7" ht="14.4" customHeight="1" x14ac:dyDescent="0.3">
      <c r="A43" s="113" t="s">
        <v>258</v>
      </c>
      <c r="B43" s="113"/>
      <c r="C43" s="113"/>
      <c r="D43" s="113"/>
      <c r="E43" s="113"/>
      <c r="F43" s="113"/>
      <c r="G43" s="113"/>
    </row>
    <row r="44" spans="1:7" x14ac:dyDescent="0.3">
      <c r="A44" s="75"/>
      <c r="B44" s="75"/>
      <c r="C44" s="75"/>
      <c r="D44" s="75"/>
      <c r="E44" s="75"/>
      <c r="F44" s="75"/>
      <c r="G44" s="75"/>
    </row>
    <row r="45" spans="1:7" x14ac:dyDescent="0.3">
      <c r="A45" s="76"/>
      <c r="B45" s="76"/>
      <c r="C45" s="76"/>
      <c r="D45" s="76"/>
      <c r="E45" s="76"/>
      <c r="F45" s="76"/>
      <c r="G45" s="76"/>
    </row>
    <row r="46" spans="1:7" x14ac:dyDescent="0.3">
      <c r="A46" s="73" t="s">
        <v>76</v>
      </c>
      <c r="B46" s="73"/>
      <c r="C46" s="73"/>
      <c r="D46" s="73"/>
      <c r="E46" s="73"/>
      <c r="F46" s="73"/>
      <c r="G46" s="73"/>
    </row>
    <row r="47" spans="1:7" x14ac:dyDescent="0.3">
      <c r="A47" s="13" t="s">
        <v>49</v>
      </c>
      <c r="B47" s="38"/>
      <c r="C47" s="19" t="s">
        <v>100</v>
      </c>
      <c r="D47" s="19" t="s">
        <v>72</v>
      </c>
      <c r="E47" s="13" t="s">
        <v>62</v>
      </c>
      <c r="F47" s="13" t="s">
        <v>2</v>
      </c>
      <c r="G47" s="13" t="s">
        <v>17</v>
      </c>
    </row>
    <row r="48" spans="1:7" x14ac:dyDescent="0.3">
      <c r="A48" s="108" t="s">
        <v>289</v>
      </c>
      <c r="B48" s="108"/>
      <c r="C48" s="17"/>
      <c r="D48" s="4">
        <v>42.71</v>
      </c>
      <c r="E48" s="31">
        <f>ROUNDUP(((C48+C6)*(3*3))/10, 0)</f>
        <v>0</v>
      </c>
      <c r="F48" s="4">
        <f>D48*E48</f>
        <v>0</v>
      </c>
      <c r="G48" s="1" t="s">
        <v>162</v>
      </c>
    </row>
    <row r="49" spans="1:7" x14ac:dyDescent="0.3">
      <c r="A49" s="108" t="s">
        <v>189</v>
      </c>
      <c r="B49" s="108"/>
      <c r="C49" s="31">
        <f>C48</f>
        <v>0</v>
      </c>
      <c r="D49" s="4">
        <v>6.66</v>
      </c>
      <c r="E49" s="31">
        <f>ROUNDUP(((C49+C6)*(3*3))/10, 0)</f>
        <v>0</v>
      </c>
      <c r="F49" s="4">
        <f>D49*E49</f>
        <v>0</v>
      </c>
      <c r="G49" s="1" t="s">
        <v>162</v>
      </c>
    </row>
    <row r="50" spans="1:7" x14ac:dyDescent="0.3">
      <c r="A50" s="108" t="s">
        <v>114</v>
      </c>
      <c r="B50" s="108"/>
      <c r="C50" s="31">
        <f>C48</f>
        <v>0</v>
      </c>
      <c r="D50" s="4">
        <v>143.72999999999999</v>
      </c>
      <c r="E50" s="31">
        <f>ROUNDUP(((C50+C6)*(3*3))/50, 0)</f>
        <v>0</v>
      </c>
      <c r="F50" s="4">
        <f>D50*E50</f>
        <v>0</v>
      </c>
      <c r="G50" s="1" t="s">
        <v>147</v>
      </c>
    </row>
    <row r="51" spans="1:7" x14ac:dyDescent="0.3">
      <c r="A51" s="94" t="s">
        <v>194</v>
      </c>
      <c r="B51" s="94"/>
      <c r="C51" s="31">
        <f>C48</f>
        <v>0</v>
      </c>
      <c r="D51" s="4">
        <v>151.24</v>
      </c>
      <c r="E51" s="31">
        <f>ROUNDUP(((C51+C6)*(2*3))/500, 0)</f>
        <v>0</v>
      </c>
      <c r="F51" s="4">
        <f t="shared" ref="F51:F61" si="2">D51*E51</f>
        <v>0</v>
      </c>
      <c r="G51" s="1" t="s">
        <v>125</v>
      </c>
    </row>
    <row r="52" spans="1:7" x14ac:dyDescent="0.3">
      <c r="A52" s="94" t="s">
        <v>30</v>
      </c>
      <c r="B52" s="94"/>
      <c r="C52" s="31">
        <f>C48</f>
        <v>0</v>
      </c>
      <c r="D52" s="4">
        <v>25.99</v>
      </c>
      <c r="E52" s="31">
        <f>ROUNDUP(((C52+C6)*(2*3)/100), 0)</f>
        <v>0</v>
      </c>
      <c r="F52" s="4">
        <f t="shared" si="2"/>
        <v>0</v>
      </c>
      <c r="G52" s="1" t="s">
        <v>124</v>
      </c>
    </row>
    <row r="53" spans="1:7" x14ac:dyDescent="0.3">
      <c r="A53" s="94" t="s">
        <v>31</v>
      </c>
      <c r="B53" s="94"/>
      <c r="C53" s="31">
        <f>C48</f>
        <v>0</v>
      </c>
      <c r="D53" s="4">
        <v>15.69</v>
      </c>
      <c r="E53" s="31">
        <f>ROUNDUP((C53+C6),0)</f>
        <v>0</v>
      </c>
      <c r="F53" s="4">
        <f t="shared" si="2"/>
        <v>0</v>
      </c>
    </row>
    <row r="54" spans="1:7" x14ac:dyDescent="0.3">
      <c r="A54" s="94" t="s">
        <v>34</v>
      </c>
      <c r="B54" s="94"/>
      <c r="C54" s="45" t="s">
        <v>86</v>
      </c>
      <c r="D54" s="4">
        <v>66</v>
      </c>
      <c r="E54" s="31">
        <v>1</v>
      </c>
      <c r="F54" s="4">
        <f>D54*E54</f>
        <v>66</v>
      </c>
      <c r="G54" s="1" t="s">
        <v>148</v>
      </c>
    </row>
    <row r="55" spans="1:7" customFormat="1" x14ac:dyDescent="0.3">
      <c r="A55" s="94" t="s">
        <v>56</v>
      </c>
      <c r="B55" s="94"/>
      <c r="C55" s="31">
        <f>C48</f>
        <v>0</v>
      </c>
      <c r="D55" s="4">
        <v>4.6900000000000004</v>
      </c>
      <c r="E55" s="31">
        <f>ROUNDUP(C55+C6,0)</f>
        <v>0</v>
      </c>
      <c r="F55" s="4">
        <f t="shared" si="2"/>
        <v>0</v>
      </c>
      <c r="G55" s="1" t="s">
        <v>129</v>
      </c>
    </row>
    <row r="56" spans="1:7" customFormat="1" x14ac:dyDescent="0.3">
      <c r="A56" s="94" t="s">
        <v>57</v>
      </c>
      <c r="B56" s="94"/>
      <c r="C56" s="31">
        <f>C48</f>
        <v>0</v>
      </c>
      <c r="D56" s="4">
        <v>23.6</v>
      </c>
      <c r="E56" s="31">
        <f>ROUNDUP(C56+C6,0)</f>
        <v>0</v>
      </c>
      <c r="F56" s="4">
        <f t="shared" si="2"/>
        <v>0</v>
      </c>
      <c r="G56" s="1" t="s">
        <v>129</v>
      </c>
    </row>
    <row r="57" spans="1:7" customFormat="1" x14ac:dyDescent="0.3">
      <c r="A57" s="108" t="s">
        <v>291</v>
      </c>
      <c r="B57" s="108"/>
      <c r="C57" s="31">
        <f>C48</f>
        <v>0</v>
      </c>
      <c r="D57" s="4">
        <v>124.5</v>
      </c>
      <c r="E57" s="31">
        <f>ROUNDUP(C57+C6,0)</f>
        <v>0</v>
      </c>
      <c r="F57" s="4">
        <f t="shared" si="2"/>
        <v>0</v>
      </c>
      <c r="G57" s="1" t="s">
        <v>128</v>
      </c>
    </row>
    <row r="58" spans="1:7" x14ac:dyDescent="0.3">
      <c r="A58" s="108" t="s">
        <v>299</v>
      </c>
      <c r="B58" s="108"/>
      <c r="C58" s="31">
        <f>C48</f>
        <v>0</v>
      </c>
      <c r="D58" s="4">
        <v>13.98</v>
      </c>
      <c r="E58" s="31">
        <f>ROUNDUP(C58+C6, 0)</f>
        <v>0</v>
      </c>
      <c r="F58" s="4">
        <f t="shared" si="2"/>
        <v>0</v>
      </c>
      <c r="G58" s="1" t="s">
        <v>200</v>
      </c>
    </row>
    <row r="59" spans="1:7" x14ac:dyDescent="0.3">
      <c r="A59" s="94" t="s">
        <v>7</v>
      </c>
      <c r="B59" s="94"/>
      <c r="C59" s="31">
        <f>C48</f>
        <v>0</v>
      </c>
      <c r="D59" s="4">
        <v>12.99</v>
      </c>
      <c r="E59" s="31">
        <f>ROUNDUP(C59+C6, 0)</f>
        <v>0</v>
      </c>
      <c r="F59" s="4">
        <f t="shared" si="2"/>
        <v>0</v>
      </c>
    </row>
    <row r="60" spans="1:7" x14ac:dyDescent="0.3">
      <c r="A60" s="106" t="s">
        <v>8</v>
      </c>
      <c r="B60" s="106"/>
      <c r="C60" s="31">
        <f>C48</f>
        <v>0</v>
      </c>
      <c r="D60" s="4">
        <v>8.68</v>
      </c>
      <c r="E60" s="31">
        <f>ROUNDUP(((C60+C6)*2*3)/100, 0)</f>
        <v>0</v>
      </c>
      <c r="F60" s="4">
        <f t="shared" si="2"/>
        <v>0</v>
      </c>
    </row>
    <row r="61" spans="1:7" x14ac:dyDescent="0.3">
      <c r="A61" s="94" t="s">
        <v>32</v>
      </c>
      <c r="B61" s="94"/>
      <c r="C61" s="31">
        <f>C48</f>
        <v>0</v>
      </c>
      <c r="D61" s="4">
        <v>1.28</v>
      </c>
      <c r="E61" s="31">
        <f>ROUNDUP(((C61+C6)*(3*3))/1262,0)</f>
        <v>0</v>
      </c>
      <c r="F61" s="4">
        <f t="shared" si="2"/>
        <v>0</v>
      </c>
    </row>
    <row r="62" spans="1:7" ht="15" thickBot="1" x14ac:dyDescent="0.35">
      <c r="A62" s="109" t="s">
        <v>33</v>
      </c>
      <c r="B62" s="109"/>
      <c r="C62" s="31">
        <f>C48</f>
        <v>0</v>
      </c>
      <c r="D62" s="5">
        <v>5.98</v>
      </c>
      <c r="E62" s="34">
        <f>ROUNDUP(((C62+C6)*3)/80, 0)</f>
        <v>0</v>
      </c>
      <c r="F62" s="4">
        <f>D62*E62</f>
        <v>0</v>
      </c>
      <c r="G62" s="2"/>
    </row>
    <row r="63" spans="1:7" ht="15" thickBot="1" x14ac:dyDescent="0.35">
      <c r="A63" s="91" t="s">
        <v>35</v>
      </c>
      <c r="B63" s="91"/>
      <c r="C63" s="91"/>
      <c r="D63" s="91"/>
      <c r="E63" s="91"/>
      <c r="F63" s="6">
        <f>SUM(F48:F62)</f>
        <v>66</v>
      </c>
      <c r="G63" s="3"/>
    </row>
    <row r="64" spans="1:7" x14ac:dyDescent="0.3">
      <c r="A64" s="70" t="s">
        <v>290</v>
      </c>
      <c r="B64" s="70"/>
      <c r="C64" s="70"/>
      <c r="D64" s="70"/>
      <c r="E64" s="70"/>
      <c r="F64" s="70"/>
      <c r="G64" s="70"/>
    </row>
    <row r="65" spans="1:7" x14ac:dyDescent="0.3">
      <c r="A65" s="70"/>
      <c r="B65" s="70"/>
      <c r="C65" s="70"/>
      <c r="D65" s="70"/>
      <c r="E65" s="70"/>
      <c r="F65" s="70"/>
      <c r="G65" s="70"/>
    </row>
    <row r="66" spans="1:7" x14ac:dyDescent="0.3">
      <c r="A66" s="70" t="s">
        <v>292</v>
      </c>
      <c r="B66" s="70"/>
      <c r="C66" s="70"/>
      <c r="D66" s="70"/>
      <c r="E66" s="70"/>
      <c r="F66" s="70"/>
      <c r="G66" s="70"/>
    </row>
    <row r="67" spans="1:7" x14ac:dyDescent="0.3">
      <c r="A67" s="76"/>
      <c r="B67" s="76"/>
      <c r="C67" s="76"/>
      <c r="D67" s="76"/>
      <c r="E67" s="76"/>
      <c r="F67" s="76"/>
      <c r="G67" s="76"/>
    </row>
    <row r="68" spans="1:7" x14ac:dyDescent="0.3">
      <c r="A68" s="73" t="s">
        <v>142</v>
      </c>
      <c r="B68" s="73"/>
      <c r="C68" s="73"/>
      <c r="D68" s="73"/>
      <c r="E68" s="73"/>
      <c r="F68" s="73"/>
      <c r="G68" s="73"/>
    </row>
    <row r="69" spans="1:7" ht="28.8" x14ac:dyDescent="0.3">
      <c r="A69" s="13" t="s">
        <v>49</v>
      </c>
      <c r="B69" s="19" t="s">
        <v>71</v>
      </c>
      <c r="C69" s="19" t="s">
        <v>144</v>
      </c>
      <c r="D69" s="13" t="s">
        <v>72</v>
      </c>
      <c r="E69" s="19" t="s">
        <v>62</v>
      </c>
      <c r="F69" s="13" t="s">
        <v>35</v>
      </c>
      <c r="G69" s="13" t="s">
        <v>17</v>
      </c>
    </row>
    <row r="70" spans="1:7" x14ac:dyDescent="0.3">
      <c r="A70" s="39" t="s">
        <v>116</v>
      </c>
      <c r="B70" s="17"/>
      <c r="C70" s="14"/>
      <c r="D70" s="4">
        <v>42.71</v>
      </c>
      <c r="E70" s="31">
        <f>ROUNDUP((((C70+C6)*B70)*(3*3))/10, 0)</f>
        <v>0</v>
      </c>
      <c r="F70" s="4">
        <f>D70*E70</f>
        <v>0</v>
      </c>
      <c r="G70" s="1" t="s">
        <v>162</v>
      </c>
    </row>
    <row r="71" spans="1:7" x14ac:dyDescent="0.3">
      <c r="A71" s="39" t="s">
        <v>189</v>
      </c>
      <c r="B71" s="31">
        <f>B70</f>
        <v>0</v>
      </c>
      <c r="C71" s="15">
        <f>C70</f>
        <v>0</v>
      </c>
      <c r="D71" s="4">
        <v>6.66</v>
      </c>
      <c r="E71" s="31">
        <f>ROUNDUP((((C70+C6)*B70)*(3*3))/10, 0)</f>
        <v>0</v>
      </c>
      <c r="F71" s="4">
        <f>D71*E71</f>
        <v>0</v>
      </c>
      <c r="G71" s="1" t="s">
        <v>162</v>
      </c>
    </row>
    <row r="72" spans="1:7" x14ac:dyDescent="0.3">
      <c r="A72" s="39" t="s">
        <v>114</v>
      </c>
      <c r="B72" s="48">
        <f>B70</f>
        <v>0</v>
      </c>
      <c r="C72" s="15">
        <f>C70</f>
        <v>0</v>
      </c>
      <c r="D72" s="4">
        <v>143.72999999999999</v>
      </c>
      <c r="E72" s="31">
        <f>ROUNDUP((((C72+C6)*B72)*(3*3))/50, 0)</f>
        <v>0</v>
      </c>
      <c r="F72" s="4">
        <f>D72*E72</f>
        <v>0</v>
      </c>
      <c r="G72" s="1" t="s">
        <v>147</v>
      </c>
    </row>
    <row r="73" spans="1:7" x14ac:dyDescent="0.3">
      <c r="A73" s="40" t="s">
        <v>194</v>
      </c>
      <c r="B73" s="48">
        <f>B70</f>
        <v>0</v>
      </c>
      <c r="C73" s="31">
        <f>C70</f>
        <v>0</v>
      </c>
      <c r="D73" s="4">
        <v>151.24</v>
      </c>
      <c r="E73" s="31">
        <f>ROUNDUP((((C73+C6)*B73)*(3*2))/500, 0)</f>
        <v>0</v>
      </c>
      <c r="F73" s="4">
        <f t="shared" ref="F73:F78" si="3">D73*E73</f>
        <v>0</v>
      </c>
      <c r="G73" s="1" t="s">
        <v>125</v>
      </c>
    </row>
    <row r="74" spans="1:7" x14ac:dyDescent="0.3">
      <c r="A74" s="40" t="s">
        <v>30</v>
      </c>
      <c r="B74" s="48">
        <f>B70</f>
        <v>0</v>
      </c>
      <c r="C74" s="31">
        <f>C70</f>
        <v>0</v>
      </c>
      <c r="D74" s="4">
        <v>25.99</v>
      </c>
      <c r="E74" s="31">
        <f>ROUNDUP((((C74+C6)*B74)*(3*2))/100, 0)</f>
        <v>0</v>
      </c>
      <c r="F74" s="4">
        <f t="shared" si="3"/>
        <v>0</v>
      </c>
      <c r="G74" s="1" t="s">
        <v>124</v>
      </c>
    </row>
    <row r="75" spans="1:7" x14ac:dyDescent="0.3">
      <c r="A75" s="40" t="s">
        <v>31</v>
      </c>
      <c r="B75" s="48">
        <f>B70</f>
        <v>0</v>
      </c>
      <c r="C75" s="31">
        <f>C70</f>
        <v>0</v>
      </c>
      <c r="D75" s="4">
        <v>15.69</v>
      </c>
      <c r="E75" s="31">
        <f>ROUNDUP(B75/(50/3),0)*ROUNDUP(C75+C6,0)</f>
        <v>0</v>
      </c>
      <c r="F75" s="4">
        <f t="shared" si="3"/>
        <v>0</v>
      </c>
    </row>
    <row r="76" spans="1:7" x14ac:dyDescent="0.3">
      <c r="A76" s="42" t="s">
        <v>8</v>
      </c>
      <c r="B76" s="48">
        <f>B70</f>
        <v>0</v>
      </c>
      <c r="C76" s="31">
        <f>C70</f>
        <v>0</v>
      </c>
      <c r="D76" s="4">
        <v>8.68</v>
      </c>
      <c r="E76" s="31">
        <f>ROUNDUP(((B76*(C76+C6)*6)/100), 0)</f>
        <v>0</v>
      </c>
      <c r="F76" s="4">
        <f t="shared" si="3"/>
        <v>0</v>
      </c>
    </row>
    <row r="77" spans="1:7" x14ac:dyDescent="0.3">
      <c r="A77" s="40" t="s">
        <v>32</v>
      </c>
      <c r="B77" s="48">
        <f>B70</f>
        <v>0</v>
      </c>
      <c r="C77" s="31">
        <f>C70</f>
        <v>0</v>
      </c>
      <c r="D77" s="4">
        <v>1.28</v>
      </c>
      <c r="E77" s="31">
        <f>ROUNDUP(B77*((C77+C6)*(3*3))/1262,0)</f>
        <v>0</v>
      </c>
      <c r="F77" s="4">
        <f t="shared" si="3"/>
        <v>0</v>
      </c>
    </row>
    <row r="78" spans="1:7" x14ac:dyDescent="0.3">
      <c r="A78" s="41" t="s">
        <v>33</v>
      </c>
      <c r="B78" s="48">
        <f>B70</f>
        <v>0</v>
      </c>
      <c r="C78" s="31">
        <f>C70</f>
        <v>0</v>
      </c>
      <c r="D78" s="4">
        <v>5.98</v>
      </c>
      <c r="E78" s="31">
        <f>ROUNDUP(B78/(80/3)*(C78+C6),0)</f>
        <v>0</v>
      </c>
      <c r="F78" s="4">
        <f t="shared" si="3"/>
        <v>0</v>
      </c>
      <c r="G78" s="2"/>
    </row>
    <row r="79" spans="1:7" ht="15" thickBot="1" x14ac:dyDescent="0.35">
      <c r="A79" s="91" t="s">
        <v>35</v>
      </c>
      <c r="B79" s="91"/>
      <c r="C79" s="91"/>
      <c r="D79" s="91"/>
      <c r="E79" s="91"/>
      <c r="F79" s="6">
        <f>SUM(F70:F78)</f>
        <v>0</v>
      </c>
      <c r="G79" s="3"/>
    </row>
    <row r="80" spans="1:7" ht="14.4" customHeight="1" x14ac:dyDescent="0.3">
      <c r="A80" s="70" t="s">
        <v>259</v>
      </c>
      <c r="B80" s="70"/>
      <c r="C80" s="70"/>
      <c r="D80" s="70"/>
      <c r="E80" s="70"/>
      <c r="F80" s="70"/>
      <c r="G80" s="70"/>
    </row>
    <row r="81" spans="1:7" x14ac:dyDescent="0.3">
      <c r="A81" s="70"/>
      <c r="B81" s="70"/>
      <c r="C81" s="70"/>
      <c r="D81" s="70"/>
      <c r="E81" s="70"/>
      <c r="F81" s="70"/>
      <c r="G81" s="70"/>
    </row>
    <row r="82" spans="1:7" x14ac:dyDescent="0.3">
      <c r="A82" s="76"/>
      <c r="B82" s="76"/>
      <c r="C82" s="76"/>
      <c r="D82" s="76"/>
      <c r="E82" s="76"/>
      <c r="F82" s="76"/>
      <c r="G82" s="76"/>
    </row>
    <row r="83" spans="1:7" x14ac:dyDescent="0.3">
      <c r="A83" s="73" t="s">
        <v>67</v>
      </c>
      <c r="B83" s="73"/>
      <c r="C83" s="73"/>
      <c r="D83" s="73"/>
      <c r="E83" s="73"/>
      <c r="F83" s="73"/>
      <c r="G83" s="73"/>
    </row>
    <row r="84" spans="1:7" x14ac:dyDescent="0.3">
      <c r="A84" s="96" t="s">
        <v>49</v>
      </c>
      <c r="B84" s="96"/>
      <c r="C84" s="11"/>
      <c r="D84" s="11" t="s">
        <v>1</v>
      </c>
      <c r="E84" s="13" t="s">
        <v>0</v>
      </c>
      <c r="F84" s="11" t="s">
        <v>35</v>
      </c>
      <c r="G84" s="11" t="s">
        <v>17</v>
      </c>
    </row>
    <row r="85" spans="1:7" x14ac:dyDescent="0.3">
      <c r="A85" s="94" t="s">
        <v>34</v>
      </c>
      <c r="B85" s="94"/>
      <c r="C85" s="94"/>
      <c r="D85" s="4">
        <v>66</v>
      </c>
      <c r="E85" s="17"/>
      <c r="F85" s="4">
        <f>D85*E85</f>
        <v>0</v>
      </c>
    </row>
    <row r="86" spans="1:7" customFormat="1" x14ac:dyDescent="0.3">
      <c r="A86" s="94" t="s">
        <v>56</v>
      </c>
      <c r="B86" s="94"/>
      <c r="C86" s="94"/>
      <c r="D86" s="4">
        <v>4.6900000000000004</v>
      </c>
      <c r="E86" s="17"/>
      <c r="F86" s="4">
        <f>D86*E86</f>
        <v>0</v>
      </c>
      <c r="G86" s="1" t="s">
        <v>129</v>
      </c>
    </row>
    <row r="87" spans="1:7" customFormat="1" x14ac:dyDescent="0.3">
      <c r="A87" s="94" t="s">
        <v>57</v>
      </c>
      <c r="B87" s="94"/>
      <c r="C87" s="94"/>
      <c r="D87" s="4">
        <v>23.6</v>
      </c>
      <c r="E87" s="17"/>
      <c r="F87" s="4">
        <f>D87*E87</f>
        <v>0</v>
      </c>
      <c r="G87" s="1" t="s">
        <v>129</v>
      </c>
    </row>
    <row r="88" spans="1:7" customFormat="1" x14ac:dyDescent="0.3">
      <c r="A88" s="108" t="s">
        <v>58</v>
      </c>
      <c r="B88" s="108"/>
      <c r="C88" s="108"/>
      <c r="D88" s="4">
        <v>124.5</v>
      </c>
      <c r="E88" s="17"/>
      <c r="F88" s="4">
        <f>D88*E88</f>
        <v>0</v>
      </c>
      <c r="G88" s="1" t="s">
        <v>128</v>
      </c>
    </row>
    <row r="89" spans="1:7" x14ac:dyDescent="0.3">
      <c r="A89" s="89" t="s">
        <v>298</v>
      </c>
      <c r="B89" s="89"/>
      <c r="C89" s="89"/>
      <c r="D89" s="4">
        <v>13.98</v>
      </c>
      <c r="E89" s="17"/>
      <c r="F89" s="4">
        <f t="shared" ref="F89" si="4">D89*E89</f>
        <v>0</v>
      </c>
      <c r="G89" s="1" t="s">
        <v>199</v>
      </c>
    </row>
    <row r="90" spans="1:7" ht="15" thickBot="1" x14ac:dyDescent="0.35">
      <c r="A90" s="109" t="s">
        <v>7</v>
      </c>
      <c r="B90" s="109"/>
      <c r="C90" s="109"/>
      <c r="D90" s="4">
        <v>12.99</v>
      </c>
      <c r="E90" s="17"/>
      <c r="F90" s="4">
        <f>D90*E90</f>
        <v>0</v>
      </c>
      <c r="G90" s="2"/>
    </row>
    <row r="91" spans="1:7" x14ac:dyDescent="0.3">
      <c r="A91" s="91" t="s">
        <v>35</v>
      </c>
      <c r="B91" s="91"/>
      <c r="C91" s="91"/>
      <c r="D91" s="91"/>
      <c r="E91" s="91"/>
      <c r="F91" s="6">
        <f>SUM(F85:F90)</f>
        <v>0</v>
      </c>
      <c r="G91" s="3"/>
    </row>
    <row r="92" spans="1:7" x14ac:dyDescent="0.3">
      <c r="A92" s="110"/>
      <c r="B92" s="110"/>
      <c r="C92" s="110"/>
      <c r="D92" s="110"/>
      <c r="E92" s="110"/>
      <c r="F92" s="110"/>
      <c r="G92" s="110"/>
    </row>
    <row r="93" spans="1:7" x14ac:dyDescent="0.3">
      <c r="A93" s="73" t="s">
        <v>68</v>
      </c>
      <c r="B93" s="73"/>
      <c r="C93" s="73"/>
      <c r="D93" s="73"/>
      <c r="E93" s="73"/>
      <c r="F93" s="73"/>
      <c r="G93" s="73"/>
    </row>
    <row r="94" spans="1:7" x14ac:dyDescent="0.3">
      <c r="A94" s="111" t="s">
        <v>42</v>
      </c>
      <c r="B94" s="111"/>
      <c r="C94" s="111"/>
      <c r="D94" s="111"/>
      <c r="E94" s="13"/>
      <c r="F94" s="13" t="s">
        <v>43</v>
      </c>
      <c r="G94" s="13" t="s">
        <v>17</v>
      </c>
    </row>
    <row r="95" spans="1:7" x14ac:dyDescent="0.3">
      <c r="A95" s="76" t="s">
        <v>74</v>
      </c>
      <c r="B95" s="76"/>
      <c r="C95" s="76"/>
      <c r="D95" s="76"/>
      <c r="E95" s="76"/>
      <c r="F95" s="4">
        <f>F26</f>
        <v>0</v>
      </c>
    </row>
    <row r="96" spans="1:7" x14ac:dyDescent="0.3">
      <c r="A96" s="76" t="s">
        <v>139</v>
      </c>
      <c r="B96" s="76"/>
      <c r="C96" s="76"/>
      <c r="D96" s="76"/>
      <c r="E96" s="76"/>
      <c r="F96" s="4">
        <f>F42</f>
        <v>0</v>
      </c>
    </row>
    <row r="97" spans="1:7" x14ac:dyDescent="0.3">
      <c r="A97" s="76" t="s">
        <v>73</v>
      </c>
      <c r="B97" s="76"/>
      <c r="C97" s="76"/>
      <c r="D97" s="76"/>
      <c r="E97" s="76"/>
      <c r="F97" s="4">
        <f>F63</f>
        <v>66</v>
      </c>
    </row>
    <row r="98" spans="1:7" x14ac:dyDescent="0.3">
      <c r="A98" s="76" t="s">
        <v>186</v>
      </c>
      <c r="B98" s="76"/>
      <c r="C98" s="76"/>
      <c r="D98" s="76"/>
      <c r="E98" s="76"/>
      <c r="F98" s="4">
        <f>F79</f>
        <v>0</v>
      </c>
    </row>
    <row r="99" spans="1:7" x14ac:dyDescent="0.3">
      <c r="A99" s="87" t="s">
        <v>67</v>
      </c>
      <c r="B99" s="87"/>
      <c r="C99" s="87"/>
      <c r="D99" s="87"/>
      <c r="E99" s="87"/>
      <c r="F99" s="5">
        <f>F91</f>
        <v>0</v>
      </c>
      <c r="G99" s="2"/>
    </row>
    <row r="100" spans="1:7" x14ac:dyDescent="0.3">
      <c r="A100" s="91" t="s">
        <v>35</v>
      </c>
      <c r="B100" s="91"/>
      <c r="C100" s="91"/>
      <c r="D100" s="91"/>
      <c r="E100" s="91"/>
      <c r="F100" s="5">
        <f>SUM(F95:F99)</f>
        <v>66</v>
      </c>
      <c r="G100" s="2"/>
    </row>
  </sheetData>
  <protectedRanges>
    <protectedRange sqref="C3:C6" name="Formula Info"/>
  </protectedRanges>
  <mergeCells count="84">
    <mergeCell ref="A66:G66"/>
    <mergeCell ref="A40:C40"/>
    <mergeCell ref="A80:G81"/>
    <mergeCell ref="I1:L12"/>
    <mergeCell ref="A1:G1"/>
    <mergeCell ref="A2:B2"/>
    <mergeCell ref="A10:C10"/>
    <mergeCell ref="A12:C12"/>
    <mergeCell ref="A13:C13"/>
    <mergeCell ref="A15:C15"/>
    <mergeCell ref="A16:C16"/>
    <mergeCell ref="A5:B5"/>
    <mergeCell ref="A3:B3"/>
    <mergeCell ref="A4:B4"/>
    <mergeCell ref="A14:C14"/>
    <mergeCell ref="A11:C11"/>
    <mergeCell ref="A17:C17"/>
    <mergeCell ref="A33:C33"/>
    <mergeCell ref="A27:G28"/>
    <mergeCell ref="A19:C19"/>
    <mergeCell ref="A20:C20"/>
    <mergeCell ref="A22:C22"/>
    <mergeCell ref="A21:C21"/>
    <mergeCell ref="A18:C18"/>
    <mergeCell ref="A100:E100"/>
    <mergeCell ref="A96:E96"/>
    <mergeCell ref="A97:E97"/>
    <mergeCell ref="A98:E98"/>
    <mergeCell ref="A99:E99"/>
    <mergeCell ref="A95:E95"/>
    <mergeCell ref="A8:G8"/>
    <mergeCell ref="A30:G30"/>
    <mergeCell ref="A46:G46"/>
    <mergeCell ref="A94:D94"/>
    <mergeCell ref="A68:G68"/>
    <mergeCell ref="A83:G83"/>
    <mergeCell ref="A84:B84"/>
    <mergeCell ref="A93:G93"/>
    <mergeCell ref="A26:E26"/>
    <mergeCell ref="A42:E42"/>
    <mergeCell ref="A79:E79"/>
    <mergeCell ref="A29:G29"/>
    <mergeCell ref="A92:G92"/>
    <mergeCell ref="A82:G82"/>
    <mergeCell ref="A67:G67"/>
    <mergeCell ref="A91:E91"/>
    <mergeCell ref="A45:G45"/>
    <mergeCell ref="A63:E63"/>
    <mergeCell ref="A90:C90"/>
    <mergeCell ref="A88:C88"/>
    <mergeCell ref="A87:C87"/>
    <mergeCell ref="A86:C86"/>
    <mergeCell ref="A85:C85"/>
    <mergeCell ref="A48:B48"/>
    <mergeCell ref="A51:B51"/>
    <mergeCell ref="A62:B62"/>
    <mergeCell ref="A58:B58"/>
    <mergeCell ref="A89:C89"/>
    <mergeCell ref="A64:G65"/>
    <mergeCell ref="A56:B56"/>
    <mergeCell ref="A59:B59"/>
    <mergeCell ref="A61:B61"/>
    <mergeCell ref="A60:B60"/>
    <mergeCell ref="A50:B50"/>
    <mergeCell ref="A53:B53"/>
    <mergeCell ref="A52:B52"/>
    <mergeCell ref="A54:B54"/>
    <mergeCell ref="A55:B55"/>
    <mergeCell ref="A6:B6"/>
    <mergeCell ref="D6:G6"/>
    <mergeCell ref="A49:B49"/>
    <mergeCell ref="A43:G44"/>
    <mergeCell ref="A57:B57"/>
    <mergeCell ref="A41:C41"/>
    <mergeCell ref="A23:C23"/>
    <mergeCell ref="A24:C24"/>
    <mergeCell ref="A25:C25"/>
    <mergeCell ref="A32:C32"/>
    <mergeCell ref="A34:C34"/>
    <mergeCell ref="A37:C37"/>
    <mergeCell ref="A38:C38"/>
    <mergeCell ref="A39:C39"/>
    <mergeCell ref="A35:C35"/>
    <mergeCell ref="A36:C36"/>
  </mergeCells>
  <hyperlinks>
    <hyperlink ref="A22" r:id="rId1" xr:uid="{CC0FA067-6E22-4850-AA76-83E0DC311690}"/>
    <hyperlink ref="A23" r:id="rId2" xr:uid="{198264D5-7ACB-49CB-B708-B28E44E04D6E}"/>
    <hyperlink ref="A13" r:id="rId3" display="WhirlPak Bags" xr:uid="{FADC35EF-E033-4866-9C33-30E5768CB544}"/>
    <hyperlink ref="A14" r:id="rId4" display="Sodium Thiosulfate WhirlPak Bags" xr:uid="{AAE5C3C6-7BDB-467D-ADB5-546A0F4E30D8}"/>
    <hyperlink ref="A15" r:id="rId5" xr:uid="{0714B74D-8EC3-4B6B-80C9-15FCA1757C9F}"/>
    <hyperlink ref="A16" r:id="rId6" xr:uid="{635DAD6F-899A-439A-B449-0E01769782E6}"/>
    <hyperlink ref="A17" r:id="rId7" xr:uid="{2C7A9F87-C387-412B-9C2C-C22E0B4CFA46}"/>
    <hyperlink ref="A19" r:id="rId8" xr:uid="{D38F0C65-1EA9-40E6-A0DF-62CFEDA6E4AA}"/>
    <hyperlink ref="A18" r:id="rId9" xr:uid="{372749C2-BDF3-4A14-A728-692406F5D394}"/>
    <hyperlink ref="A20" r:id="rId10" xr:uid="{618637D6-4F69-4EDC-8594-43A625874781}"/>
    <hyperlink ref="A25" r:id="rId11" display="Ziploc Bags**" xr:uid="{2ABF0405-5E8B-421D-92ED-024550751380}"/>
    <hyperlink ref="A39" r:id="rId12" xr:uid="{1533E398-69B8-4DC3-9D08-8DD93DB6A5AB}"/>
    <hyperlink ref="A41" r:id="rId13" display="Ziploc Bags***" xr:uid="{B0035695-B994-4442-A049-A988E91ABC34}"/>
    <hyperlink ref="A10" r:id="rId14" display="Coliscan EasyGel &amp; Petri Dishes" xr:uid="{92480068-006F-49F5-B595-14E3277C1D8F}"/>
    <hyperlink ref="A32" r:id="rId15" display="Coliscan EasyGel &amp; Petri Dishes" xr:uid="{2CB247A2-97E3-4604-986F-D02355FBC423}"/>
    <hyperlink ref="A51" r:id="rId16" display="WhirlPak Bags" xr:uid="{2BBB0BB2-A10F-49B4-B426-869696BDC1DF}"/>
    <hyperlink ref="A52" r:id="rId17" xr:uid="{03E8CEC0-9C4A-407E-ABE5-2C10175D7735}"/>
    <hyperlink ref="A53" r:id="rId18" xr:uid="{5F2990D0-254E-46D3-A02A-1DD58B1BC0BD}"/>
    <hyperlink ref="A56" r:id="rId19" xr:uid="{7F358927-2E07-4E65-95AF-05CCAE046A1A}"/>
    <hyperlink ref="A55" r:id="rId20" xr:uid="{6BBD746B-CA08-4801-9BF3-937C57F1DDFD}"/>
    <hyperlink ref="A57" r:id="rId21" display="Extension Pole" xr:uid="{D1600234-6781-4247-A289-421590358D1E}"/>
    <hyperlink ref="A62" r:id="rId22" xr:uid="{95BE794B-E5AF-43B6-9707-CD0E36EAE888}"/>
    <hyperlink ref="A48" r:id="rId23" display="Coliscan EasyGel &amp; Petri Dishes" xr:uid="{4B9BA1D9-9DC6-4DC6-A11B-47CD0B258FE4}"/>
    <hyperlink ref="A73" r:id="rId24" display="WhirlPak Bags" xr:uid="{F4708A80-84D5-45AD-8BCB-D371E5BD6600}"/>
    <hyperlink ref="A74" r:id="rId25" xr:uid="{F01BDF1C-8B94-4963-BD6A-9554694656F1}"/>
    <hyperlink ref="A75" r:id="rId26" xr:uid="{C30C094C-C2EB-4277-BFC5-40A0C7820162}"/>
    <hyperlink ref="A76" r:id="rId27" xr:uid="{E67B2A63-6788-40BC-A052-20369AFABF4D}"/>
    <hyperlink ref="A78" r:id="rId28" xr:uid="{D6F73401-E36A-4B7C-8728-FE71B994E24B}"/>
    <hyperlink ref="A70" r:id="rId29" display="Coliscan EasyGel &amp; Petri Dishes" xr:uid="{DBDCEC1F-4EEC-409F-A73B-694DF1D0C830}"/>
    <hyperlink ref="A90" r:id="rId30" xr:uid="{4C04C0FB-27B0-4D78-9CDA-FBFFB84DF45B}"/>
    <hyperlink ref="A85" r:id="rId31" xr:uid="{1BBF6372-7EAC-4502-823A-AFC8BD26E27A}"/>
    <hyperlink ref="A87" r:id="rId32" xr:uid="{A31288BF-F39A-493C-ABA1-7A4AD5E4676A}"/>
    <hyperlink ref="A86" r:id="rId33" xr:uid="{FF77F506-A364-4859-9FDC-5C3B73C54937}"/>
    <hyperlink ref="A88" r:id="rId34" xr:uid="{1395831A-439C-4029-A669-FD2A08D3A4B0}"/>
    <hyperlink ref="A54" r:id="rId35" xr:uid="{B37E3779-3CB2-41AE-9FF6-E5750453FFFE}"/>
    <hyperlink ref="A72" r:id="rId36" display="Coliscan EasyGel &amp; Petri Dishes (Weber)" xr:uid="{90A81EB6-5D06-4ADB-B416-3837CB500ED7}"/>
    <hyperlink ref="A34" r:id="rId37" display="Coliscan EasyGel &amp; Petri Dishes (Weber)" xr:uid="{3253AC74-E4CA-4D67-908C-3F877354C342}"/>
    <hyperlink ref="A40" r:id="rId38" display="Bleach**" xr:uid="{5BEA0F8F-EAAA-485D-AC0D-71CC0784E2FC}"/>
    <hyperlink ref="A61" r:id="rId39" xr:uid="{C8FA3C9F-4FD4-4149-BB40-8C8F69EA70F0}"/>
    <hyperlink ref="A77" r:id="rId40" xr:uid="{3A7E197D-8DB7-424D-A831-64DF651F1B43}"/>
    <hyperlink ref="A59" r:id="rId41" xr:uid="{4D83BA40-5FE5-4187-95FF-C23CDACE26BF}"/>
    <hyperlink ref="A60" r:id="rId42" xr:uid="{0E4A7401-4F02-4906-9567-ED4A12F2D75D}"/>
    <hyperlink ref="A62:B62" r:id="rId43" display="Ziploc Bags" xr:uid="{2D558A4D-A891-4670-8F4A-20A7A681CF8F}"/>
    <hyperlink ref="A78" r:id="rId44" xr:uid="{E46A3B42-EB92-4E5B-8D4E-180F48F3E4AD}"/>
    <hyperlink ref="A11:C11" r:id="rId45" display="Petri Dishes (Micrology)" xr:uid="{3A8A1C38-86C7-4909-9796-1F6A5515CE60}"/>
    <hyperlink ref="A33" r:id="rId46" xr:uid="{F4C41956-210C-41ED-B4F8-BD3F9E5CBE5D}"/>
    <hyperlink ref="A49" r:id="rId47" xr:uid="{4D2AA01D-DE96-4695-A513-4865F29725AA}"/>
    <hyperlink ref="A71" r:id="rId48" xr:uid="{7E705201-449F-4C3E-9E49-BB3FF21C36E6}"/>
    <hyperlink ref="A50:B50" r:id="rId49" display="Coliscan EasyGel &amp; Petri Dishes (Weber)**" xr:uid="{D55D602D-D889-431A-9641-951B7141BA7E}"/>
    <hyperlink ref="A12:C12" r:id="rId50" display="Coliscan EasyGel &amp; Petri Dishes (Weber)*" xr:uid="{65101678-992B-4EF3-A0BA-8F872F2EBE2C}"/>
    <hyperlink ref="A18:C18" r:id="rId51" display="Magnifying Glass**" xr:uid="{15E21B7C-2630-4D19-8953-B812D3651EE5}"/>
    <hyperlink ref="A24" r:id="rId52" display="Bleach**" xr:uid="{C10F6B86-9A28-4259-A205-94DE4E1424D8}"/>
    <hyperlink ref="A35" r:id="rId53" display="WhirlPak Bags" xr:uid="{C4A2D21A-AE45-41A4-837D-C8F6D22D5F29}"/>
    <hyperlink ref="A36" r:id="rId54" display="Sodium Thiosulfate WhirlPak Bags" xr:uid="{54CEDF70-ABCB-4CA2-AFB7-F8F619DCF97A}"/>
    <hyperlink ref="A37" r:id="rId55" xr:uid="{84E3D557-CE7A-49FD-A33F-84CF50D98C69}"/>
    <hyperlink ref="A38" r:id="rId56" xr:uid="{50A1FE8C-ADB0-452F-B975-D3EC95632558}"/>
    <hyperlink ref="A55:B55" r:id="rId57" display="Magnifying Glass" xr:uid="{71DCEF31-8F52-4B9F-9A7D-57CB636065D4}"/>
    <hyperlink ref="A86:C86" r:id="rId58" display="Magnifying Glass" xr:uid="{D6B278AB-8BF8-46B3-B52F-3A4F8B571FB1}"/>
    <hyperlink ref="A21:B21" r:id="rId59" display="One Gallon Bucket" xr:uid="{709D426E-11D1-438E-BA9E-66C0376BBA1D}"/>
    <hyperlink ref="A58" r:id="rId60" display="One Gallon Bucket" xr:uid="{1A86C578-811B-40E9-A7FD-5C280C2107FF}"/>
    <hyperlink ref="A89:B89" r:id="rId61" display="One Gallon Bucket" xr:uid="{6E6719E9-1A7B-4177-86CF-85E612EE8200}"/>
    <hyperlink ref="A20:C20" r:id="rId62" display="Extension Pole" xr:uid="{D3E680C8-B79E-4CCA-8F58-A98182D82B1C}"/>
    <hyperlink ref="A57:B57" r:id="rId63" display="Extension Pole" xr:uid="{64574ECF-2A99-4BF8-9941-38261DCA25A8}"/>
    <hyperlink ref="A88:C88" r:id="rId64" display="Extension Pole" xr:uid="{AD747FBF-911F-4998-9956-2D52E491171F}"/>
  </hyperlinks>
  <pageMargins left="0.7" right="0.7" top="0.75" bottom="0.75" header="0.3" footer="0.3"/>
  <pageSetup orientation="portrait" horizontalDpi="1200" verticalDpi="1200" r:id="rId65"/>
  <legacyDrawing r:id="rId6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3B79-FB2D-499B-BEF1-4CE8FAF24894}">
  <dimension ref="A1:L96"/>
  <sheetViews>
    <sheetView workbookViewId="0">
      <selection activeCell="A86" sqref="A86:C86"/>
    </sheetView>
  </sheetViews>
  <sheetFormatPr defaultRowHeight="14.4" x14ac:dyDescent="0.3"/>
  <cols>
    <col min="1" max="1" width="45.109375" customWidth="1"/>
    <col min="2" max="2" width="13.6640625" customWidth="1"/>
    <col min="3" max="3" width="16.88671875" customWidth="1"/>
    <col min="4" max="4" width="9.88671875" bestFit="1" customWidth="1"/>
    <col min="5" max="5" width="10.109375" bestFit="1" customWidth="1"/>
    <col min="6" max="6" width="11.21875" bestFit="1" customWidth="1"/>
    <col min="7" max="7" width="94.21875" bestFit="1" customWidth="1"/>
  </cols>
  <sheetData>
    <row r="1" spans="1:12" x14ac:dyDescent="0.3">
      <c r="A1" s="73" t="s">
        <v>117</v>
      </c>
      <c r="B1" s="73"/>
      <c r="C1" s="73"/>
      <c r="D1" s="73"/>
      <c r="E1" s="73"/>
      <c r="F1" s="73"/>
      <c r="G1" s="73"/>
      <c r="I1" s="97" t="s">
        <v>145</v>
      </c>
      <c r="J1" s="98"/>
      <c r="K1" s="98"/>
      <c r="L1" s="99"/>
    </row>
    <row r="2" spans="1:12" x14ac:dyDescent="0.3">
      <c r="A2" s="96" t="s">
        <v>118</v>
      </c>
      <c r="B2" s="96"/>
      <c r="C2" s="11" t="s">
        <v>62</v>
      </c>
      <c r="D2" s="11"/>
      <c r="E2" s="11"/>
      <c r="F2" s="11"/>
      <c r="G2" s="11"/>
      <c r="I2" s="100"/>
      <c r="J2" s="70"/>
      <c r="K2" s="70"/>
      <c r="L2" s="101"/>
    </row>
    <row r="3" spans="1:12" x14ac:dyDescent="0.3">
      <c r="A3" s="121" t="s">
        <v>158</v>
      </c>
      <c r="B3" s="121"/>
      <c r="C3" s="56"/>
      <c r="D3" s="122"/>
      <c r="E3" s="122"/>
      <c r="F3" s="122"/>
      <c r="G3" s="122"/>
      <c r="I3" s="100"/>
      <c r="J3" s="70"/>
      <c r="K3" s="70"/>
      <c r="L3" s="101"/>
    </row>
    <row r="4" spans="1:12" x14ac:dyDescent="0.3">
      <c r="A4" s="121" t="s">
        <v>157</v>
      </c>
      <c r="B4" s="121"/>
      <c r="C4" s="56"/>
      <c r="D4" s="122"/>
      <c r="E4" s="122"/>
      <c r="F4" s="122"/>
      <c r="G4" s="122"/>
      <c r="I4" s="100"/>
      <c r="J4" s="70"/>
      <c r="K4" s="70"/>
      <c r="L4" s="101"/>
    </row>
    <row r="5" spans="1:12" x14ac:dyDescent="0.3">
      <c r="A5" s="121" t="s">
        <v>213</v>
      </c>
      <c r="B5" s="121"/>
      <c r="C5" s="56"/>
      <c r="D5" s="122"/>
      <c r="E5" s="122"/>
      <c r="F5" s="122"/>
      <c r="G5" s="122"/>
      <c r="I5" s="100"/>
      <c r="J5" s="70"/>
      <c r="K5" s="70"/>
      <c r="L5" s="101"/>
    </row>
    <row r="6" spans="1:12" x14ac:dyDescent="0.3">
      <c r="A6" s="121" t="s">
        <v>214</v>
      </c>
      <c r="B6" s="121"/>
      <c r="C6" s="56"/>
      <c r="D6" s="122"/>
      <c r="E6" s="122"/>
      <c r="F6" s="122"/>
      <c r="G6" s="122"/>
      <c r="I6" s="100"/>
      <c r="J6" s="70"/>
      <c r="K6" s="70"/>
      <c r="L6" s="101"/>
    </row>
    <row r="7" spans="1:12" ht="15" thickBot="1" x14ac:dyDescent="0.35">
      <c r="A7" s="123" t="s">
        <v>260</v>
      </c>
      <c r="B7" s="123"/>
      <c r="C7" s="56"/>
      <c r="D7" s="124"/>
      <c r="E7" s="124"/>
      <c r="F7" s="124"/>
      <c r="G7" s="124"/>
      <c r="I7" s="100"/>
      <c r="J7" s="70"/>
      <c r="K7" s="70"/>
      <c r="L7" s="101"/>
    </row>
    <row r="8" spans="1:12" x14ac:dyDescent="0.3">
      <c r="A8" s="92"/>
      <c r="B8" s="92"/>
      <c r="C8" s="92"/>
      <c r="D8" s="92"/>
      <c r="E8" s="92"/>
      <c r="F8" s="92"/>
      <c r="G8" s="92"/>
      <c r="I8" s="100"/>
      <c r="J8" s="70"/>
      <c r="K8" s="70"/>
      <c r="L8" s="101"/>
    </row>
    <row r="9" spans="1:12" x14ac:dyDescent="0.3">
      <c r="A9" s="73" t="s">
        <v>66</v>
      </c>
      <c r="B9" s="73"/>
      <c r="C9" s="73"/>
      <c r="D9" s="73"/>
      <c r="E9" s="73"/>
      <c r="F9" s="73"/>
      <c r="G9" s="95"/>
      <c r="I9" s="100"/>
      <c r="J9" s="70"/>
      <c r="K9" s="70"/>
      <c r="L9" s="101"/>
    </row>
    <row r="10" spans="1:12" x14ac:dyDescent="0.3">
      <c r="A10" s="96" t="s">
        <v>49</v>
      </c>
      <c r="B10" s="96"/>
      <c r="C10" s="11"/>
      <c r="D10" s="11" t="s">
        <v>1</v>
      </c>
      <c r="E10" s="11" t="s">
        <v>0</v>
      </c>
      <c r="F10" s="11" t="s">
        <v>2</v>
      </c>
      <c r="G10" s="11" t="s">
        <v>17</v>
      </c>
      <c r="I10" s="100"/>
      <c r="J10" s="70"/>
      <c r="K10" s="70"/>
      <c r="L10" s="101"/>
    </row>
    <row r="11" spans="1:12" x14ac:dyDescent="0.3">
      <c r="A11" s="94" t="s">
        <v>79</v>
      </c>
      <c r="B11" s="94"/>
      <c r="C11" s="94"/>
      <c r="D11" s="4">
        <v>128.75</v>
      </c>
      <c r="E11" s="31">
        <f>ROUNDUP(((C3+C4)/500)*12,0)</f>
        <v>0</v>
      </c>
      <c r="F11" s="4">
        <f>D11*E11</f>
        <v>0</v>
      </c>
      <c r="G11" s="1"/>
      <c r="I11" s="100"/>
      <c r="J11" s="70"/>
      <c r="K11" s="70"/>
      <c r="L11" s="101"/>
    </row>
    <row r="12" spans="1:12" x14ac:dyDescent="0.3">
      <c r="A12" s="94" t="s">
        <v>149</v>
      </c>
      <c r="B12" s="94"/>
      <c r="C12" s="94"/>
      <c r="D12" s="4">
        <v>10.39</v>
      </c>
      <c r="E12" s="31">
        <f>ROUNDUP((C5+C6),0)</f>
        <v>0</v>
      </c>
      <c r="F12" s="4">
        <f t="shared" ref="F12:F19" si="0">D12*E12</f>
        <v>0</v>
      </c>
      <c r="G12" s="1"/>
      <c r="I12" s="102"/>
      <c r="J12" s="103"/>
      <c r="K12" s="103"/>
      <c r="L12" s="104"/>
    </row>
    <row r="13" spans="1:12" x14ac:dyDescent="0.3">
      <c r="A13" s="108" t="s">
        <v>80</v>
      </c>
      <c r="B13" s="108"/>
      <c r="C13" s="108"/>
      <c r="D13" s="4">
        <v>15.49</v>
      </c>
      <c r="E13" s="31">
        <f>ROUNDUP(((C3+C4)/36)*12,0)</f>
        <v>0</v>
      </c>
      <c r="F13" s="4">
        <f t="shared" si="0"/>
        <v>0</v>
      </c>
      <c r="G13" s="1"/>
    </row>
    <row r="14" spans="1:12" x14ac:dyDescent="0.3">
      <c r="A14" s="94" t="s">
        <v>81</v>
      </c>
      <c r="B14" s="94"/>
      <c r="C14" s="94"/>
      <c r="D14" s="4">
        <v>1.97</v>
      </c>
      <c r="E14" s="31">
        <f>ROUNDUP((C5+C6)/2,0)</f>
        <v>0</v>
      </c>
      <c r="F14" s="4">
        <f t="shared" si="0"/>
        <v>0</v>
      </c>
      <c r="G14" s="1"/>
    </row>
    <row r="15" spans="1:12" x14ac:dyDescent="0.3">
      <c r="A15" s="94" t="s">
        <v>82</v>
      </c>
      <c r="B15" s="94"/>
      <c r="C15" s="94"/>
      <c r="D15" s="4">
        <v>8</v>
      </c>
      <c r="E15" s="31">
        <f>ROUNDUP((C5+C6),0)</f>
        <v>0</v>
      </c>
      <c r="F15" s="4">
        <f t="shared" si="0"/>
        <v>0</v>
      </c>
      <c r="G15" s="1"/>
    </row>
    <row r="16" spans="1:12" x14ac:dyDescent="0.3">
      <c r="A16" s="89" t="s">
        <v>196</v>
      </c>
      <c r="B16" s="89"/>
      <c r="C16" s="89"/>
      <c r="D16" s="4">
        <v>5.99</v>
      </c>
      <c r="E16" s="31">
        <f>ROUNDUP((C5+C6),0)</f>
        <v>0</v>
      </c>
      <c r="F16" s="4">
        <f t="shared" si="0"/>
        <v>0</v>
      </c>
      <c r="G16" s="1" t="s">
        <v>19</v>
      </c>
    </row>
    <row r="17" spans="1:12" x14ac:dyDescent="0.3">
      <c r="A17" s="94" t="s">
        <v>31</v>
      </c>
      <c r="B17" s="94"/>
      <c r="C17" s="94"/>
      <c r="D17" s="4">
        <v>15.69</v>
      </c>
      <c r="E17" s="31">
        <f>ROUNDUP((C5+C6),0)</f>
        <v>0</v>
      </c>
      <c r="F17" s="4">
        <f t="shared" si="0"/>
        <v>0</v>
      </c>
      <c r="G17" s="1"/>
    </row>
    <row r="18" spans="1:12" x14ac:dyDescent="0.3">
      <c r="A18" s="89" t="s">
        <v>7</v>
      </c>
      <c r="B18" s="89"/>
      <c r="C18" s="89"/>
      <c r="D18" s="4">
        <v>12.99</v>
      </c>
      <c r="E18" s="31">
        <f>ROUNDUP((C5+C6),0)</f>
        <v>0</v>
      </c>
      <c r="F18" s="4">
        <f t="shared" si="0"/>
        <v>0</v>
      </c>
      <c r="G18" s="1"/>
    </row>
    <row r="19" spans="1:12" x14ac:dyDescent="0.3">
      <c r="A19" s="89" t="s">
        <v>8</v>
      </c>
      <c r="B19" s="89"/>
      <c r="C19" s="89"/>
      <c r="D19" s="4">
        <v>8.68</v>
      </c>
      <c r="E19" s="31">
        <f>ROUNDUP((C5+C6),0)</f>
        <v>0</v>
      </c>
      <c r="F19" s="4">
        <f t="shared" si="0"/>
        <v>0</v>
      </c>
      <c r="G19" s="1"/>
    </row>
    <row r="20" spans="1:12" x14ac:dyDescent="0.3">
      <c r="A20" s="118" t="s">
        <v>155</v>
      </c>
      <c r="B20" s="118"/>
      <c r="C20" s="118"/>
      <c r="D20" s="118"/>
      <c r="E20" s="118"/>
      <c r="F20" s="118"/>
      <c r="G20" s="118"/>
    </row>
    <row r="21" spans="1:12" x14ac:dyDescent="0.3">
      <c r="A21" s="94" t="s">
        <v>150</v>
      </c>
      <c r="B21" s="94"/>
      <c r="C21" s="94"/>
      <c r="D21" s="4">
        <v>0.75</v>
      </c>
      <c r="E21" s="31">
        <f>ROUNDUP(C3,0)</f>
        <v>0</v>
      </c>
      <c r="F21" s="4">
        <f>D21*E21</f>
        <v>0</v>
      </c>
      <c r="G21" s="1" t="s">
        <v>159</v>
      </c>
    </row>
    <row r="22" spans="1:12" x14ac:dyDescent="0.3">
      <c r="A22" s="94" t="s">
        <v>151</v>
      </c>
      <c r="B22" s="94"/>
      <c r="C22" s="94"/>
      <c r="D22" s="4">
        <v>2.12</v>
      </c>
      <c r="E22" s="31">
        <f>ROUNDUP(C5,0)</f>
        <v>0</v>
      </c>
      <c r="F22" s="4">
        <f t="shared" ref="F22:F24" si="1">D22*E22</f>
        <v>0</v>
      </c>
      <c r="G22" s="1"/>
    </row>
    <row r="23" spans="1:12" x14ac:dyDescent="0.3">
      <c r="A23" s="94" t="s">
        <v>152</v>
      </c>
      <c r="B23" s="94"/>
      <c r="C23" s="94"/>
      <c r="D23" s="4">
        <v>5.67</v>
      </c>
      <c r="E23" s="31">
        <f>ROUNDUP(C5,0)</f>
        <v>0</v>
      </c>
      <c r="F23" s="4">
        <f t="shared" si="1"/>
        <v>0</v>
      </c>
      <c r="G23" s="1" t="s">
        <v>163</v>
      </c>
    </row>
    <row r="24" spans="1:12" x14ac:dyDescent="0.3">
      <c r="A24" s="94" t="s">
        <v>153</v>
      </c>
      <c r="B24" s="94"/>
      <c r="C24" s="94"/>
      <c r="D24" s="4">
        <v>7.28</v>
      </c>
      <c r="E24" s="31">
        <f>ROUNDUP(C5,0)</f>
        <v>0</v>
      </c>
      <c r="F24" s="4">
        <f t="shared" si="1"/>
        <v>0</v>
      </c>
      <c r="G24" s="1" t="s">
        <v>163</v>
      </c>
    </row>
    <row r="25" spans="1:12" x14ac:dyDescent="0.3">
      <c r="A25" s="118" t="s">
        <v>156</v>
      </c>
      <c r="B25" s="118"/>
      <c r="C25" s="118"/>
      <c r="D25" s="118"/>
      <c r="E25" s="118"/>
      <c r="F25" s="118"/>
      <c r="G25" s="118"/>
    </row>
    <row r="26" spans="1:12" x14ac:dyDescent="0.3">
      <c r="A26" s="108" t="s">
        <v>58</v>
      </c>
      <c r="B26" s="108"/>
      <c r="C26" s="108"/>
      <c r="D26" s="4">
        <v>124.5</v>
      </c>
      <c r="E26" s="31">
        <f>ROUNDUP(C6,0)</f>
        <v>0</v>
      </c>
      <c r="F26" s="4">
        <f>D26*E26</f>
        <v>0</v>
      </c>
      <c r="G26" s="1" t="s">
        <v>199</v>
      </c>
    </row>
    <row r="27" spans="1:12" s="1" customFormat="1" ht="15" thickBot="1" x14ac:dyDescent="0.35">
      <c r="A27" s="89" t="s">
        <v>298</v>
      </c>
      <c r="B27" s="89"/>
      <c r="C27" s="89"/>
      <c r="D27" s="4">
        <v>13.98</v>
      </c>
      <c r="E27" s="31">
        <f>ROUNDUP(C6,0)</f>
        <v>0</v>
      </c>
      <c r="F27" s="5">
        <f t="shared" ref="F27" si="2">D27*E27</f>
        <v>0</v>
      </c>
      <c r="G27" s="2" t="s">
        <v>199</v>
      </c>
      <c r="I27" s="7"/>
      <c r="J27" s="7"/>
      <c r="K27" s="7"/>
      <c r="L27" s="7"/>
    </row>
    <row r="28" spans="1:12" ht="15" thickBot="1" x14ac:dyDescent="0.35">
      <c r="A28" s="91" t="s">
        <v>35</v>
      </c>
      <c r="B28" s="91"/>
      <c r="C28" s="91"/>
      <c r="D28" s="91"/>
      <c r="E28" s="91"/>
      <c r="F28" s="5">
        <f>SUM(F11:F19)+SUM(F21:F24)+SUM(F26:F27)</f>
        <v>0</v>
      </c>
      <c r="G28" s="2"/>
    </row>
    <row r="29" spans="1:12" x14ac:dyDescent="0.3">
      <c r="A29" s="92"/>
      <c r="B29" s="92"/>
      <c r="C29" s="92"/>
      <c r="D29" s="92"/>
      <c r="E29" s="92"/>
      <c r="F29" s="92"/>
      <c r="G29" s="92"/>
    </row>
    <row r="30" spans="1:12" x14ac:dyDescent="0.3">
      <c r="A30" s="73" t="s">
        <v>225</v>
      </c>
      <c r="B30" s="73"/>
      <c r="C30" s="73"/>
      <c r="D30" s="73"/>
      <c r="E30" s="73"/>
      <c r="F30" s="73"/>
      <c r="G30" s="73"/>
    </row>
    <row r="31" spans="1:12" x14ac:dyDescent="0.3">
      <c r="A31" s="111" t="s">
        <v>49</v>
      </c>
      <c r="B31" s="111"/>
      <c r="C31" s="38"/>
      <c r="D31" s="13" t="s">
        <v>1</v>
      </c>
      <c r="E31" s="13" t="s">
        <v>0</v>
      </c>
      <c r="F31" s="13" t="s">
        <v>35</v>
      </c>
      <c r="G31" s="13" t="s">
        <v>17</v>
      </c>
    </row>
    <row r="32" spans="1:12" x14ac:dyDescent="0.3">
      <c r="A32" s="94" t="s">
        <v>79</v>
      </c>
      <c r="B32" s="94"/>
      <c r="C32" s="94"/>
      <c r="D32" s="4">
        <v>128.75</v>
      </c>
      <c r="E32" s="31">
        <f>ROUNDUP((((C3+C4)/500)*12),0)</f>
        <v>0</v>
      </c>
      <c r="F32" s="4">
        <f>D32*E32</f>
        <v>0</v>
      </c>
      <c r="G32" s="1"/>
    </row>
    <row r="33" spans="1:7" x14ac:dyDescent="0.3">
      <c r="A33" s="108" t="s">
        <v>80</v>
      </c>
      <c r="B33" s="108"/>
      <c r="C33" s="108"/>
      <c r="D33" s="4">
        <v>15.49</v>
      </c>
      <c r="E33" s="31">
        <f>ROUNDUP((((C3+C4)/36)*12),0)</f>
        <v>0</v>
      </c>
      <c r="F33" s="4">
        <f t="shared" ref="F33:F38" si="3">D33*E33</f>
        <v>0</v>
      </c>
      <c r="G33" s="1"/>
    </row>
    <row r="34" spans="1:7" x14ac:dyDescent="0.3">
      <c r="A34" s="108" t="s">
        <v>31</v>
      </c>
      <c r="B34" s="108"/>
      <c r="C34" s="108"/>
      <c r="D34" s="4">
        <v>15.69</v>
      </c>
      <c r="E34" s="31">
        <f>ROUNDUP(C3+C4,0)</f>
        <v>0</v>
      </c>
      <c r="F34" s="4">
        <f t="shared" si="3"/>
        <v>0</v>
      </c>
      <c r="G34" s="1" t="s">
        <v>295</v>
      </c>
    </row>
    <row r="35" spans="1:7" x14ac:dyDescent="0.3">
      <c r="A35" s="89" t="s">
        <v>8</v>
      </c>
      <c r="B35" s="89"/>
      <c r="C35" s="89"/>
      <c r="D35" s="4">
        <v>8.68</v>
      </c>
      <c r="E35" s="31">
        <f>ROUNDUP(((((C3+C4)*2)/100)*12),0)</f>
        <v>0</v>
      </c>
      <c r="F35" s="4">
        <f t="shared" si="3"/>
        <v>0</v>
      </c>
      <c r="G35" s="1"/>
    </row>
    <row r="36" spans="1:7" x14ac:dyDescent="0.3">
      <c r="A36" s="94" t="s">
        <v>150</v>
      </c>
      <c r="B36" s="94"/>
      <c r="C36" s="94"/>
      <c r="D36" s="52">
        <v>0.75</v>
      </c>
      <c r="E36" s="31">
        <f>ROUNDUP((C3*2), 0)</f>
        <v>0</v>
      </c>
      <c r="F36" s="4">
        <f t="shared" si="3"/>
        <v>0</v>
      </c>
      <c r="G36" s="1" t="s">
        <v>161</v>
      </c>
    </row>
    <row r="37" spans="1:7" x14ac:dyDescent="0.3">
      <c r="A37" s="94" t="s">
        <v>152</v>
      </c>
      <c r="B37" s="94"/>
      <c r="C37" s="94"/>
      <c r="D37" s="4">
        <v>5.67</v>
      </c>
      <c r="E37" s="31">
        <f>C3</f>
        <v>0</v>
      </c>
      <c r="F37" s="4">
        <f t="shared" si="3"/>
        <v>0</v>
      </c>
      <c r="G37" s="1" t="s">
        <v>163</v>
      </c>
    </row>
    <row r="38" spans="1:7" ht="15" thickBot="1" x14ac:dyDescent="0.35">
      <c r="A38" s="109" t="s">
        <v>153</v>
      </c>
      <c r="B38" s="109"/>
      <c r="C38" s="109"/>
      <c r="D38" s="4">
        <v>7.28</v>
      </c>
      <c r="E38" s="31">
        <f>C3</f>
        <v>0</v>
      </c>
      <c r="F38" s="4">
        <f t="shared" si="3"/>
        <v>0</v>
      </c>
      <c r="G38" s="1" t="s">
        <v>163</v>
      </c>
    </row>
    <row r="39" spans="1:7" ht="15" thickBot="1" x14ac:dyDescent="0.35">
      <c r="A39" s="91" t="s">
        <v>35</v>
      </c>
      <c r="B39" s="91"/>
      <c r="C39" s="91"/>
      <c r="D39" s="91"/>
      <c r="E39" s="91"/>
      <c r="F39" s="6">
        <f>SUM(F32:F38)</f>
        <v>0</v>
      </c>
      <c r="G39" s="3"/>
    </row>
    <row r="40" spans="1:7" x14ac:dyDescent="0.3">
      <c r="A40" s="71"/>
      <c r="B40" s="71"/>
      <c r="C40" s="71"/>
      <c r="D40" s="71"/>
      <c r="E40" s="71"/>
      <c r="F40" s="71"/>
      <c r="G40" s="71"/>
    </row>
    <row r="41" spans="1:7" x14ac:dyDescent="0.3">
      <c r="A41" s="73" t="s">
        <v>115</v>
      </c>
      <c r="B41" s="73"/>
      <c r="C41" s="73"/>
      <c r="D41" s="73"/>
      <c r="E41" s="73"/>
      <c r="F41" s="73"/>
      <c r="G41" s="73"/>
    </row>
    <row r="42" spans="1:7" ht="28.8" x14ac:dyDescent="0.3">
      <c r="A42" s="111" t="s">
        <v>49</v>
      </c>
      <c r="B42" s="111"/>
      <c r="C42" s="19" t="s">
        <v>61</v>
      </c>
      <c r="D42" s="13" t="s">
        <v>1</v>
      </c>
      <c r="E42" s="13" t="s">
        <v>62</v>
      </c>
      <c r="F42" s="13" t="s">
        <v>2</v>
      </c>
      <c r="G42" s="13" t="s">
        <v>17</v>
      </c>
    </row>
    <row r="43" spans="1:7" x14ac:dyDescent="0.3">
      <c r="A43" s="94" t="s">
        <v>79</v>
      </c>
      <c r="B43" s="94"/>
      <c r="C43" s="58"/>
      <c r="D43" s="4">
        <v>128.75</v>
      </c>
      <c r="E43" s="31">
        <f>ROUNDUP(((C43*3)+C7)/500, 0)</f>
        <v>0</v>
      </c>
      <c r="F43" s="4">
        <f>D43*E43</f>
        <v>0</v>
      </c>
      <c r="G43" s="1"/>
    </row>
    <row r="44" spans="1:7" x14ac:dyDescent="0.3">
      <c r="A44" s="94" t="s">
        <v>149</v>
      </c>
      <c r="B44" s="94"/>
      <c r="C44" s="48">
        <f>C43</f>
        <v>0</v>
      </c>
      <c r="D44" s="4">
        <v>10.39</v>
      </c>
      <c r="E44" s="31">
        <f>ROUNDUP(C44+C7, 0)</f>
        <v>0</v>
      </c>
      <c r="F44" s="4">
        <f t="shared" ref="F44:F50" si="4">D44*E44</f>
        <v>0</v>
      </c>
      <c r="G44" s="1"/>
    </row>
    <row r="45" spans="1:7" x14ac:dyDescent="0.3">
      <c r="A45" s="108" t="s">
        <v>80</v>
      </c>
      <c r="B45" s="108"/>
      <c r="C45" s="48">
        <f>C43</f>
        <v>0</v>
      </c>
      <c r="D45" s="4">
        <v>15.49</v>
      </c>
      <c r="E45" s="31">
        <f>ROUNDUP(((C45*3)+C7)/36, 0)</f>
        <v>0</v>
      </c>
      <c r="F45" s="4">
        <f t="shared" si="4"/>
        <v>0</v>
      </c>
      <c r="G45" s="1"/>
    </row>
    <row r="46" spans="1:7" x14ac:dyDescent="0.3">
      <c r="A46" s="120" t="s">
        <v>81</v>
      </c>
      <c r="B46" s="120"/>
      <c r="C46" s="48">
        <f>C43</f>
        <v>0</v>
      </c>
      <c r="D46" s="4">
        <v>1.97</v>
      </c>
      <c r="E46" s="31">
        <f>ROUNDUP(((C46+C7)/2), 0)</f>
        <v>0</v>
      </c>
      <c r="F46" s="4">
        <f t="shared" si="4"/>
        <v>0</v>
      </c>
      <c r="G46" s="1"/>
    </row>
    <row r="47" spans="1:7" x14ac:dyDescent="0.3">
      <c r="A47" s="120" t="s">
        <v>82</v>
      </c>
      <c r="B47" s="120"/>
      <c r="C47" s="48">
        <f>C43</f>
        <v>0</v>
      </c>
      <c r="D47" s="4">
        <v>8</v>
      </c>
      <c r="E47" s="31">
        <f>ROUNDUP(C47+C7, 0)</f>
        <v>0</v>
      </c>
      <c r="F47" s="4">
        <f t="shared" si="4"/>
        <v>0</v>
      </c>
      <c r="G47" s="1"/>
    </row>
    <row r="48" spans="1:7" x14ac:dyDescent="0.3">
      <c r="A48" s="120" t="s">
        <v>196</v>
      </c>
      <c r="B48" s="120"/>
      <c r="C48" s="48">
        <f>C43</f>
        <v>0</v>
      </c>
      <c r="D48" s="4">
        <v>5.99</v>
      </c>
      <c r="E48" s="31">
        <f>ROUNDUP(C48+C7, 0)</f>
        <v>0</v>
      </c>
      <c r="F48" s="4">
        <f t="shared" si="4"/>
        <v>0</v>
      </c>
      <c r="G48" s="1" t="s">
        <v>19</v>
      </c>
    </row>
    <row r="49" spans="1:7" x14ac:dyDescent="0.3">
      <c r="A49" s="120" t="s">
        <v>31</v>
      </c>
      <c r="B49" s="120"/>
      <c r="C49" s="48">
        <f>C43</f>
        <v>0</v>
      </c>
      <c r="D49" s="4">
        <v>15.69</v>
      </c>
      <c r="E49" s="31">
        <f>ROUNDUP(C49+C7,0)</f>
        <v>0</v>
      </c>
      <c r="F49" s="4">
        <f t="shared" si="4"/>
        <v>0</v>
      </c>
      <c r="G49" s="1"/>
    </row>
    <row r="50" spans="1:7" x14ac:dyDescent="0.3">
      <c r="A50" s="120" t="s">
        <v>7</v>
      </c>
      <c r="B50" s="120"/>
      <c r="C50" s="48">
        <f>C43</f>
        <v>0</v>
      </c>
      <c r="D50" s="4">
        <v>12.99</v>
      </c>
      <c r="E50" s="31">
        <f>ROUNDUP(C50+C7, 0)</f>
        <v>0</v>
      </c>
      <c r="F50" s="4">
        <f t="shared" si="4"/>
        <v>0</v>
      </c>
      <c r="G50" s="1"/>
    </row>
    <row r="51" spans="1:7" x14ac:dyDescent="0.3">
      <c r="A51" s="119" t="s">
        <v>8</v>
      </c>
      <c r="B51" s="119"/>
      <c r="C51" s="48">
        <f>C43</f>
        <v>0</v>
      </c>
      <c r="D51" s="4">
        <v>8.68</v>
      </c>
      <c r="E51" s="31">
        <f>ROUNDUP(((C51+C7)*2*3)/100, 0)</f>
        <v>0</v>
      </c>
      <c r="F51" s="4">
        <f>D51*E51</f>
        <v>0</v>
      </c>
      <c r="G51" s="1"/>
    </row>
    <row r="52" spans="1:7" x14ac:dyDescent="0.3">
      <c r="A52" s="118" t="s">
        <v>155</v>
      </c>
      <c r="B52" s="118"/>
      <c r="C52" s="118"/>
      <c r="D52" s="118"/>
      <c r="E52" s="118"/>
      <c r="F52" s="118"/>
      <c r="G52" s="118"/>
    </row>
    <row r="53" spans="1:7" x14ac:dyDescent="0.3">
      <c r="A53" s="94" t="s">
        <v>150</v>
      </c>
      <c r="B53" s="94"/>
      <c r="C53" s="46">
        <f>C43</f>
        <v>0</v>
      </c>
      <c r="D53" s="4">
        <v>0.75</v>
      </c>
      <c r="E53" s="31">
        <f>ROUNDUP(C53+C7, 0)</f>
        <v>0</v>
      </c>
      <c r="F53" s="4">
        <f t="shared" ref="F53:F56" si="5">D53*E53</f>
        <v>0</v>
      </c>
      <c r="G53" s="1" t="s">
        <v>19</v>
      </c>
    </row>
    <row r="54" spans="1:7" x14ac:dyDescent="0.3">
      <c r="A54" s="94" t="s">
        <v>151</v>
      </c>
      <c r="B54" s="94"/>
      <c r="C54" s="46">
        <f>C43</f>
        <v>0</v>
      </c>
      <c r="D54" s="4">
        <v>2.12</v>
      </c>
      <c r="E54" s="31">
        <f>ROUNDUP(((C54+C7)/2), 0)</f>
        <v>0</v>
      </c>
      <c r="F54" s="4">
        <f t="shared" si="5"/>
        <v>0</v>
      </c>
      <c r="G54" s="1"/>
    </row>
    <row r="55" spans="1:7" x14ac:dyDescent="0.3">
      <c r="A55" s="94" t="s">
        <v>152</v>
      </c>
      <c r="B55" s="94"/>
      <c r="C55" s="46">
        <f>C43</f>
        <v>0</v>
      </c>
      <c r="D55" s="4">
        <v>5.67</v>
      </c>
      <c r="E55" s="31">
        <f>ROUNDUP(((C55+C7)/300),0)</f>
        <v>0</v>
      </c>
      <c r="F55" s="4">
        <f t="shared" si="5"/>
        <v>0</v>
      </c>
      <c r="G55" s="1" t="s">
        <v>293</v>
      </c>
    </row>
    <row r="56" spans="1:7" x14ac:dyDescent="0.3">
      <c r="A56" s="106" t="s">
        <v>153</v>
      </c>
      <c r="B56" s="106"/>
      <c r="C56" s="63">
        <f>C43</f>
        <v>0</v>
      </c>
      <c r="D56" s="4">
        <v>7.28</v>
      </c>
      <c r="E56" s="31">
        <f>ROUNDUP(((C56+C7)/15),0)</f>
        <v>0</v>
      </c>
      <c r="F56" s="4">
        <f t="shared" si="5"/>
        <v>0</v>
      </c>
      <c r="G56" s="1" t="s">
        <v>294</v>
      </c>
    </row>
    <row r="57" spans="1:7" x14ac:dyDescent="0.3">
      <c r="A57" s="117" t="s">
        <v>156</v>
      </c>
      <c r="B57" s="117"/>
      <c r="C57" s="117"/>
      <c r="D57" s="117"/>
      <c r="E57" s="117"/>
      <c r="F57" s="117"/>
      <c r="G57" s="117"/>
    </row>
    <row r="58" spans="1:7" x14ac:dyDescent="0.3">
      <c r="A58" s="116" t="s">
        <v>58</v>
      </c>
      <c r="B58" s="116"/>
      <c r="C58" s="35">
        <f>C43</f>
        <v>0</v>
      </c>
      <c r="D58" s="64">
        <v>124.5</v>
      </c>
      <c r="E58" s="31">
        <f>ROUNDUP((C58/5)+C7, 0)</f>
        <v>0</v>
      </c>
      <c r="F58" s="4">
        <f>D58*E58</f>
        <v>0</v>
      </c>
      <c r="G58" s="1" t="s">
        <v>164</v>
      </c>
    </row>
    <row r="59" spans="1:7" s="1" customFormat="1" ht="15" thickBot="1" x14ac:dyDescent="0.35">
      <c r="A59" s="108" t="s">
        <v>298</v>
      </c>
      <c r="B59" s="108"/>
      <c r="C59" s="31">
        <f>C55</f>
        <v>0</v>
      </c>
      <c r="D59" s="4">
        <v>13.98</v>
      </c>
      <c r="E59" s="31">
        <f>ROUNDUP((C59/2)+C7, 0)</f>
        <v>0</v>
      </c>
      <c r="F59" s="4">
        <f t="shared" ref="F59" si="6">D59*E59</f>
        <v>0</v>
      </c>
      <c r="G59" s="1" t="s">
        <v>261</v>
      </c>
    </row>
    <row r="60" spans="1:7" ht="15" thickBot="1" x14ac:dyDescent="0.35">
      <c r="A60" s="107" t="s">
        <v>2</v>
      </c>
      <c r="B60" s="107"/>
      <c r="C60" s="107"/>
      <c r="D60" s="107"/>
      <c r="E60" s="107"/>
      <c r="F60" s="6">
        <f>SUM(F43:F51)+SUM(F53:F56)+SUM(F58:F59)</f>
        <v>0</v>
      </c>
      <c r="G60" s="3"/>
    </row>
    <row r="61" spans="1:7" x14ac:dyDescent="0.3">
      <c r="A61" s="88" t="s">
        <v>187</v>
      </c>
      <c r="B61" s="88"/>
      <c r="C61" s="88"/>
      <c r="D61" s="88"/>
      <c r="E61" s="88"/>
      <c r="F61" s="88"/>
      <c r="G61" s="88"/>
    </row>
    <row r="62" spans="1:7" x14ac:dyDescent="0.3">
      <c r="A62" s="105"/>
      <c r="B62" s="105"/>
      <c r="C62" s="105"/>
      <c r="D62" s="105"/>
      <c r="E62" s="105"/>
      <c r="F62" s="105"/>
      <c r="G62" s="105"/>
    </row>
    <row r="63" spans="1:7" x14ac:dyDescent="0.3">
      <c r="A63" s="73" t="s">
        <v>185</v>
      </c>
      <c r="B63" s="73"/>
      <c r="C63" s="73"/>
      <c r="D63" s="73"/>
      <c r="E63" s="73"/>
      <c r="F63" s="73"/>
      <c r="G63" s="73"/>
    </row>
    <row r="64" spans="1:7" ht="28.8" x14ac:dyDescent="0.3">
      <c r="A64" s="13" t="s">
        <v>49</v>
      </c>
      <c r="B64" s="19" t="s">
        <v>71</v>
      </c>
      <c r="C64" s="19" t="s">
        <v>160</v>
      </c>
      <c r="D64" s="13" t="s">
        <v>72</v>
      </c>
      <c r="E64" s="19" t="s">
        <v>62</v>
      </c>
      <c r="F64" s="13" t="s">
        <v>35</v>
      </c>
      <c r="G64" s="13" t="s">
        <v>17</v>
      </c>
    </row>
    <row r="65" spans="1:7" x14ac:dyDescent="0.3">
      <c r="A65" s="24" t="s">
        <v>79</v>
      </c>
      <c r="B65" s="17"/>
      <c r="C65" s="58"/>
      <c r="D65" s="4">
        <v>128.75</v>
      </c>
      <c r="E65" s="31">
        <f>ROUNDUP((((C65*B65*3)+(B65*C7))/500), 0)</f>
        <v>0</v>
      </c>
      <c r="F65" s="4">
        <f>D65*E65</f>
        <v>0</v>
      </c>
      <c r="G65" s="1"/>
    </row>
    <row r="66" spans="1:7" x14ac:dyDescent="0.3">
      <c r="A66" s="24" t="s">
        <v>80</v>
      </c>
      <c r="B66" s="31">
        <f>B65</f>
        <v>0</v>
      </c>
      <c r="C66" s="31">
        <f>C65</f>
        <v>0</v>
      </c>
      <c r="D66" s="4">
        <v>15.49</v>
      </c>
      <c r="E66" s="31">
        <f>ROUNDUP((((C66*B66*3)+(B66*C7))/36), 0)</f>
        <v>0</v>
      </c>
      <c r="F66" s="4">
        <f t="shared" ref="F66:F71" si="7">D66*E66</f>
        <v>0</v>
      </c>
      <c r="G66" s="1"/>
    </row>
    <row r="67" spans="1:7" x14ac:dyDescent="0.3">
      <c r="A67" s="51" t="s">
        <v>31</v>
      </c>
      <c r="B67" s="54">
        <f>B65</f>
        <v>0</v>
      </c>
      <c r="C67" s="48">
        <f>C65</f>
        <v>0</v>
      </c>
      <c r="D67" s="4">
        <v>15.69</v>
      </c>
      <c r="E67" s="31">
        <f>ROUNDUP((C67*B67)+(C67*C7),0)</f>
        <v>0</v>
      </c>
      <c r="F67" s="4">
        <f t="shared" si="7"/>
        <v>0</v>
      </c>
      <c r="G67" s="1"/>
    </row>
    <row r="68" spans="1:7" x14ac:dyDescent="0.3">
      <c r="A68" s="50" t="s">
        <v>8</v>
      </c>
      <c r="B68" s="55">
        <f>B65</f>
        <v>0</v>
      </c>
      <c r="C68" s="46">
        <f>C65</f>
        <v>0</v>
      </c>
      <c r="D68" s="4">
        <v>8.68</v>
      </c>
      <c r="E68" s="31">
        <f>ROUNDUP((((B68+C7)*C68*6)/100), 0)</f>
        <v>0</v>
      </c>
      <c r="F68" s="4">
        <f t="shared" si="7"/>
        <v>0</v>
      </c>
      <c r="G68" s="1"/>
    </row>
    <row r="69" spans="1:7" x14ac:dyDescent="0.3">
      <c r="A69" s="40" t="s">
        <v>150</v>
      </c>
      <c r="B69" s="55">
        <f>B65</f>
        <v>0</v>
      </c>
      <c r="C69" s="46">
        <f>C65</f>
        <v>0</v>
      </c>
      <c r="D69" s="52">
        <v>0.75</v>
      </c>
      <c r="E69" s="31">
        <f>ROUNDUP((C69*B69)+(C69*C7),0)</f>
        <v>0</v>
      </c>
      <c r="F69" s="4">
        <f t="shared" si="7"/>
        <v>0</v>
      </c>
      <c r="G69" s="1" t="s">
        <v>154</v>
      </c>
    </row>
    <row r="70" spans="1:7" x14ac:dyDescent="0.3">
      <c r="A70" s="40" t="s">
        <v>152</v>
      </c>
      <c r="B70" s="55">
        <f>B65</f>
        <v>0</v>
      </c>
      <c r="C70" s="46">
        <f>C65</f>
        <v>0</v>
      </c>
      <c r="D70" s="4">
        <v>5.67</v>
      </c>
      <c r="E70" s="31">
        <f>ROUNDUP((((C70*B70)+(C70*C7))/300),0)</f>
        <v>0</v>
      </c>
      <c r="F70" s="4">
        <f t="shared" si="7"/>
        <v>0</v>
      </c>
      <c r="G70" s="1" t="s">
        <v>165</v>
      </c>
    </row>
    <row r="71" spans="1:7" ht="15" thickBot="1" x14ac:dyDescent="0.35">
      <c r="A71" s="40" t="s">
        <v>153</v>
      </c>
      <c r="B71" s="55">
        <f>B65</f>
        <v>0</v>
      </c>
      <c r="C71" s="46">
        <f>C65</f>
        <v>0</v>
      </c>
      <c r="D71" s="4">
        <v>7.28</v>
      </c>
      <c r="E71" s="31">
        <f>ROUNDUP((((C71*B71)+(C71*C7))/15),0)</f>
        <v>0</v>
      </c>
      <c r="F71" s="5">
        <f t="shared" si="7"/>
        <v>0</v>
      </c>
      <c r="G71" s="1" t="s">
        <v>166</v>
      </c>
    </row>
    <row r="72" spans="1:7" ht="15" thickBot="1" x14ac:dyDescent="0.35">
      <c r="A72" s="91" t="s">
        <v>35</v>
      </c>
      <c r="B72" s="91"/>
      <c r="C72" s="91"/>
      <c r="D72" s="91"/>
      <c r="E72" s="91"/>
      <c r="F72" s="5">
        <f>SUM(F65:F71)</f>
        <v>0</v>
      </c>
      <c r="G72" s="3"/>
    </row>
    <row r="73" spans="1:7" x14ac:dyDescent="0.3">
      <c r="A73" s="88" t="s">
        <v>187</v>
      </c>
      <c r="B73" s="88"/>
      <c r="C73" s="88"/>
      <c r="D73" s="88"/>
      <c r="E73" s="88"/>
      <c r="F73" s="88"/>
      <c r="G73" s="88"/>
    </row>
    <row r="74" spans="1:7" x14ac:dyDescent="0.3">
      <c r="A74" s="71"/>
      <c r="B74" s="71"/>
      <c r="C74" s="71"/>
      <c r="D74" s="71"/>
      <c r="E74" s="71"/>
      <c r="F74" s="71"/>
      <c r="G74" s="71"/>
    </row>
    <row r="75" spans="1:7" x14ac:dyDescent="0.3">
      <c r="A75" s="73" t="s">
        <v>67</v>
      </c>
      <c r="B75" s="73"/>
      <c r="C75" s="73"/>
      <c r="D75" s="73"/>
      <c r="E75" s="73"/>
      <c r="F75" s="73"/>
      <c r="G75" s="73"/>
    </row>
    <row r="76" spans="1:7" x14ac:dyDescent="0.3">
      <c r="A76" s="96" t="s">
        <v>49</v>
      </c>
      <c r="B76" s="96"/>
      <c r="C76" s="11"/>
      <c r="D76" s="11" t="s">
        <v>1</v>
      </c>
      <c r="E76" s="11" t="s">
        <v>0</v>
      </c>
      <c r="F76" s="11" t="s">
        <v>35</v>
      </c>
      <c r="G76" s="11" t="s">
        <v>17</v>
      </c>
    </row>
    <row r="77" spans="1:7" x14ac:dyDescent="0.3">
      <c r="A77" s="94" t="s">
        <v>149</v>
      </c>
      <c r="B77" s="94"/>
      <c r="C77" s="94"/>
      <c r="D77" s="4">
        <v>10.39</v>
      </c>
      <c r="E77" s="12"/>
      <c r="F77" s="4">
        <f t="shared" ref="F77:F81" si="8">D77*E77</f>
        <v>0</v>
      </c>
      <c r="G77" s="1"/>
    </row>
    <row r="78" spans="1:7" x14ac:dyDescent="0.3">
      <c r="A78" s="94" t="s">
        <v>81</v>
      </c>
      <c r="B78" s="94"/>
      <c r="C78" s="94"/>
      <c r="D78" s="4">
        <v>1.97</v>
      </c>
      <c r="E78" s="12"/>
      <c r="F78" s="4">
        <f t="shared" si="8"/>
        <v>0</v>
      </c>
      <c r="G78" s="1"/>
    </row>
    <row r="79" spans="1:7" x14ac:dyDescent="0.3">
      <c r="A79" s="94" t="s">
        <v>82</v>
      </c>
      <c r="B79" s="94"/>
      <c r="C79" s="94"/>
      <c r="D79" s="4">
        <v>8</v>
      </c>
      <c r="E79" s="12"/>
      <c r="F79" s="4">
        <f t="shared" si="8"/>
        <v>0</v>
      </c>
      <c r="G79" s="1"/>
    </row>
    <row r="80" spans="1:7" x14ac:dyDescent="0.3">
      <c r="A80" s="89" t="s">
        <v>196</v>
      </c>
      <c r="B80" s="89"/>
      <c r="C80" s="89"/>
      <c r="D80" s="4">
        <v>5.99</v>
      </c>
      <c r="E80" s="12"/>
      <c r="F80" s="4">
        <f t="shared" si="8"/>
        <v>0</v>
      </c>
      <c r="G80" s="1" t="s">
        <v>19</v>
      </c>
    </row>
    <row r="81" spans="1:7" x14ac:dyDescent="0.3">
      <c r="A81" s="89" t="s">
        <v>7</v>
      </c>
      <c r="B81" s="89"/>
      <c r="C81" s="89"/>
      <c r="D81" s="4">
        <v>12.99</v>
      </c>
      <c r="E81" s="12"/>
      <c r="F81" s="4">
        <f t="shared" si="8"/>
        <v>0</v>
      </c>
      <c r="G81" s="1"/>
    </row>
    <row r="82" spans="1:7" x14ac:dyDescent="0.3">
      <c r="A82" s="118" t="s">
        <v>155</v>
      </c>
      <c r="B82" s="118"/>
      <c r="C82" s="118"/>
      <c r="D82" s="118"/>
      <c r="E82" s="118"/>
      <c r="F82" s="118"/>
      <c r="G82" s="118"/>
    </row>
    <row r="83" spans="1:7" x14ac:dyDescent="0.3">
      <c r="A83" s="94" t="s">
        <v>151</v>
      </c>
      <c r="B83" s="94"/>
      <c r="C83" s="94"/>
      <c r="D83" s="4">
        <v>2.12</v>
      </c>
      <c r="E83" s="12"/>
      <c r="F83" s="4">
        <f t="shared" ref="F83" si="9">D83*E83</f>
        <v>0</v>
      </c>
      <c r="G83" s="1"/>
    </row>
    <row r="84" spans="1:7" x14ac:dyDescent="0.3">
      <c r="A84" s="118" t="s">
        <v>156</v>
      </c>
      <c r="B84" s="118"/>
      <c r="C84" s="118"/>
      <c r="D84" s="118"/>
      <c r="E84" s="118"/>
      <c r="F84" s="118"/>
      <c r="G84" s="118"/>
    </row>
    <row r="85" spans="1:7" x14ac:dyDescent="0.3">
      <c r="A85" s="108" t="s">
        <v>58</v>
      </c>
      <c r="B85" s="108"/>
      <c r="C85" s="108"/>
      <c r="D85" s="64">
        <v>124.5</v>
      </c>
      <c r="E85" s="12"/>
      <c r="F85" s="4">
        <f>D85*E85</f>
        <v>0</v>
      </c>
      <c r="G85" s="1"/>
    </row>
    <row r="86" spans="1:7" s="1" customFormat="1" ht="15" thickBot="1" x14ac:dyDescent="0.35">
      <c r="A86" s="89" t="s">
        <v>298</v>
      </c>
      <c r="B86" s="89"/>
      <c r="C86" s="89"/>
      <c r="D86" s="4">
        <v>13.98</v>
      </c>
      <c r="E86" s="17"/>
      <c r="F86" s="4">
        <f t="shared" ref="F86" si="10">D86*E86</f>
        <v>0</v>
      </c>
      <c r="G86" s="1" t="s">
        <v>199</v>
      </c>
    </row>
    <row r="87" spans="1:7" ht="15" thickBot="1" x14ac:dyDescent="0.35">
      <c r="A87" s="91" t="s">
        <v>35</v>
      </c>
      <c r="B87" s="91"/>
      <c r="C87" s="91"/>
      <c r="D87" s="91"/>
      <c r="E87" s="91"/>
      <c r="F87" s="6">
        <f>SUM(F77:F81)+SUM(F83:F83)+SUM(F85:F86)</f>
        <v>0</v>
      </c>
      <c r="G87" s="3"/>
    </row>
    <row r="88" spans="1:7" x14ac:dyDescent="0.3">
      <c r="A88" s="92"/>
      <c r="B88" s="92"/>
      <c r="C88" s="92"/>
      <c r="D88" s="92"/>
      <c r="E88" s="92"/>
      <c r="F88" s="92"/>
      <c r="G88" s="92"/>
    </row>
    <row r="89" spans="1:7" x14ac:dyDescent="0.3">
      <c r="A89" s="73" t="s">
        <v>68</v>
      </c>
      <c r="B89" s="73"/>
      <c r="C89" s="73"/>
      <c r="D89" s="73"/>
      <c r="E89" s="73"/>
      <c r="F89" s="73"/>
      <c r="G89" s="73"/>
    </row>
    <row r="90" spans="1:7" x14ac:dyDescent="0.3">
      <c r="A90" s="96" t="s">
        <v>42</v>
      </c>
      <c r="B90" s="96"/>
      <c r="C90" s="96"/>
      <c r="D90" s="96"/>
      <c r="E90" s="20"/>
      <c r="F90" s="11" t="s">
        <v>77</v>
      </c>
      <c r="G90" s="11" t="s">
        <v>17</v>
      </c>
    </row>
    <row r="91" spans="1:7" x14ac:dyDescent="0.3">
      <c r="A91" s="76" t="s">
        <v>74</v>
      </c>
      <c r="B91" s="76"/>
      <c r="C91" s="76"/>
      <c r="D91" s="76"/>
      <c r="E91" s="76"/>
      <c r="F91" s="4">
        <f>F28</f>
        <v>0</v>
      </c>
      <c r="G91" s="1"/>
    </row>
    <row r="92" spans="1:7" x14ac:dyDescent="0.3">
      <c r="A92" s="76" t="s">
        <v>139</v>
      </c>
      <c r="B92" s="76"/>
      <c r="C92" s="76"/>
      <c r="D92" s="76"/>
      <c r="E92" s="76"/>
      <c r="F92" s="4">
        <f>F39</f>
        <v>0</v>
      </c>
      <c r="G92" s="1"/>
    </row>
    <row r="93" spans="1:7" x14ac:dyDescent="0.3">
      <c r="A93" s="76" t="s">
        <v>73</v>
      </c>
      <c r="B93" s="76"/>
      <c r="C93" s="76"/>
      <c r="D93" s="76"/>
      <c r="E93" s="76"/>
      <c r="F93" s="4">
        <f>F60</f>
        <v>0</v>
      </c>
      <c r="G93" s="1"/>
    </row>
    <row r="94" spans="1:7" x14ac:dyDescent="0.3">
      <c r="A94" s="76" t="s">
        <v>186</v>
      </c>
      <c r="B94" s="76"/>
      <c r="C94" s="76"/>
      <c r="D94" s="76"/>
      <c r="E94" s="76"/>
      <c r="F94" s="4">
        <f>F72</f>
        <v>0</v>
      </c>
      <c r="G94" s="1"/>
    </row>
    <row r="95" spans="1:7" ht="15" thickBot="1" x14ac:dyDescent="0.35">
      <c r="A95" s="87" t="s">
        <v>67</v>
      </c>
      <c r="B95" s="87"/>
      <c r="C95" s="87"/>
      <c r="D95" s="87"/>
      <c r="E95" s="87"/>
      <c r="F95" s="5">
        <f>F87</f>
        <v>0</v>
      </c>
      <c r="G95" s="2"/>
    </row>
    <row r="96" spans="1:7" ht="15" thickBot="1" x14ac:dyDescent="0.35">
      <c r="A96" s="91" t="s">
        <v>35</v>
      </c>
      <c r="B96" s="91"/>
      <c r="C96" s="91"/>
      <c r="D96" s="91"/>
      <c r="E96" s="91"/>
      <c r="F96" s="5">
        <f>SUM(F91:F95)</f>
        <v>0</v>
      </c>
      <c r="G96" s="2"/>
    </row>
  </sheetData>
  <mergeCells count="94">
    <mergeCell ref="A59:B59"/>
    <mergeCell ref="A27:C27"/>
    <mergeCell ref="A80:C80"/>
    <mergeCell ref="A76:B76"/>
    <mergeCell ref="A77:C77"/>
    <mergeCell ref="A52:G52"/>
    <mergeCell ref="A10:B10"/>
    <mergeCell ref="A11:C11"/>
    <mergeCell ref="A16:C16"/>
    <mergeCell ref="A12:C12"/>
    <mergeCell ref="A14:C14"/>
    <mergeCell ref="A15:C15"/>
    <mergeCell ref="A13:C13"/>
    <mergeCell ref="A17:C17"/>
    <mergeCell ref="A49:B49"/>
    <mergeCell ref="A50:B50"/>
    <mergeCell ref="A18:C18"/>
    <mergeCell ref="A19:C19"/>
    <mergeCell ref="A28:E28"/>
    <mergeCell ref="A36:C36"/>
    <mergeCell ref="A39:E39"/>
    <mergeCell ref="A41:G41"/>
    <mergeCell ref="A42:B42"/>
    <mergeCell ref="A48:B48"/>
    <mergeCell ref="A21:C21"/>
    <mergeCell ref="A22:C22"/>
    <mergeCell ref="A23:C23"/>
    <mergeCell ref="A24:C24"/>
    <mergeCell ref="A25:G25"/>
    <mergeCell ref="A1:G1"/>
    <mergeCell ref="A2:B2"/>
    <mergeCell ref="A3:B3"/>
    <mergeCell ref="A4:B4"/>
    <mergeCell ref="A9:G9"/>
    <mergeCell ref="D3:G3"/>
    <mergeCell ref="D5:G5"/>
    <mergeCell ref="A8:G8"/>
    <mergeCell ref="D4:G4"/>
    <mergeCell ref="A5:B5"/>
    <mergeCell ref="A6:B6"/>
    <mergeCell ref="D6:G6"/>
    <mergeCell ref="A7:B7"/>
    <mergeCell ref="D7:G7"/>
    <mergeCell ref="A96:E96"/>
    <mergeCell ref="A90:D90"/>
    <mergeCell ref="A91:E91"/>
    <mergeCell ref="A92:E92"/>
    <mergeCell ref="A93:E93"/>
    <mergeCell ref="A94:E94"/>
    <mergeCell ref="A95:E95"/>
    <mergeCell ref="A89:G89"/>
    <mergeCell ref="A87:E87"/>
    <mergeCell ref="A82:G82"/>
    <mergeCell ref="A84:G84"/>
    <mergeCell ref="A85:C85"/>
    <mergeCell ref="A86:C86"/>
    <mergeCell ref="A26:C26"/>
    <mergeCell ref="A54:B54"/>
    <mergeCell ref="A32:C32"/>
    <mergeCell ref="A33:C33"/>
    <mergeCell ref="A34:C34"/>
    <mergeCell ref="A35:C35"/>
    <mergeCell ref="A20:G20"/>
    <mergeCell ref="A75:G75"/>
    <mergeCell ref="A29:G29"/>
    <mergeCell ref="A40:G40"/>
    <mergeCell ref="A37:C37"/>
    <mergeCell ref="A38:C38"/>
    <mergeCell ref="A51:B51"/>
    <mergeCell ref="A53:B53"/>
    <mergeCell ref="A43:B43"/>
    <mergeCell ref="A44:B44"/>
    <mergeCell ref="A45:B45"/>
    <mergeCell ref="A46:B46"/>
    <mergeCell ref="A47:B47"/>
    <mergeCell ref="A61:G61"/>
    <mergeCell ref="A30:G30"/>
    <mergeCell ref="A31:B31"/>
    <mergeCell ref="I1:L12"/>
    <mergeCell ref="A74:G74"/>
    <mergeCell ref="A88:G88"/>
    <mergeCell ref="A62:G62"/>
    <mergeCell ref="A55:B55"/>
    <mergeCell ref="A56:B56"/>
    <mergeCell ref="A58:B58"/>
    <mergeCell ref="A83:C83"/>
    <mergeCell ref="A78:C78"/>
    <mergeCell ref="A79:C79"/>
    <mergeCell ref="A81:C81"/>
    <mergeCell ref="A57:G57"/>
    <mergeCell ref="A73:G73"/>
    <mergeCell ref="A60:E60"/>
    <mergeCell ref="A63:G63"/>
    <mergeCell ref="A72:E72"/>
  </mergeCells>
  <hyperlinks>
    <hyperlink ref="A16:B16" r:id="rId1" display="Waste Bin" xr:uid="{D2327FCF-FB1B-4FE5-832F-580A066ADFF8}"/>
    <hyperlink ref="A18:B18" r:id="rId2" display="Goggles" xr:uid="{F791B733-1808-47F7-98D0-05665643FAC4}"/>
    <hyperlink ref="A11:B11" r:id="rId3" display="Standard Core Kit " xr:uid="{60DB0D9E-EB7C-4611-B901-EBF1B17CB6C1}"/>
    <hyperlink ref="A19" r:id="rId4" xr:uid="{07E8B45C-6202-4B17-A7E3-26CB8A469EB8}"/>
    <hyperlink ref="A12" r:id="rId5" xr:uid="{3457B1B5-8842-4C91-8E47-B8E7E97A18A0}"/>
    <hyperlink ref="A14" r:id="rId6" xr:uid="{E74FD235-4D78-4EB0-9438-0D193396CB67}"/>
    <hyperlink ref="A15" r:id="rId7" xr:uid="{439D5747-D0BB-4FE9-B9B0-70FF1D2C9A80}"/>
    <hyperlink ref="A17" r:id="rId8" xr:uid="{A3513F07-DD0D-4057-AB6C-2733051BE4FA}"/>
    <hyperlink ref="A13:C13" r:id="rId9" display="Organic Cotton Tampons" xr:uid="{B76C8C6C-701E-469D-BD0C-9A9CDC92BDF9}"/>
    <hyperlink ref="A22" r:id="rId10" xr:uid="{4F47FD61-611D-437E-9A80-CA645ED2D270}"/>
    <hyperlink ref="A23" r:id="rId11" xr:uid="{1A5BA5CB-9770-4CEB-9F67-E5A1E4DD06DA}"/>
    <hyperlink ref="A24" r:id="rId12" xr:uid="{C5CA6D44-F7ED-4671-A658-8B09F28BF8F8}"/>
    <hyperlink ref="A34" r:id="rId13" xr:uid="{469F94B7-D24B-47CF-BA23-C39638845D41}"/>
    <hyperlink ref="A35" r:id="rId14" xr:uid="{04FDA6CB-D0E2-4D77-BF84-983D23A87F4F}"/>
    <hyperlink ref="A38" r:id="rId15" xr:uid="{91AEDBC4-3882-402A-AB28-2F4BD05719D9}"/>
    <hyperlink ref="A26" r:id="rId16" xr:uid="{2AD8CF15-E008-4D85-ABE1-D3AC53EEEBFF}"/>
    <hyperlink ref="A51" r:id="rId17" xr:uid="{DDCCB8F7-9482-4D6C-A10F-3CCC3C930D5A}"/>
    <hyperlink ref="A44" r:id="rId18" xr:uid="{7639C57C-6114-48AD-BBC4-01017F5CCEB7}"/>
    <hyperlink ref="A46" r:id="rId19" xr:uid="{353D51AF-B83B-4164-A42F-EA4084A9D03D}"/>
    <hyperlink ref="A47" r:id="rId20" xr:uid="{CF324864-8205-4C68-A53F-AB22A022B241}"/>
    <hyperlink ref="A49" r:id="rId21" xr:uid="{8B48B77C-F321-4220-A5B9-0E0101B1FF9A}"/>
    <hyperlink ref="A54" r:id="rId22" xr:uid="{042831B5-35BE-44AD-A315-D1866C8E871B}"/>
    <hyperlink ref="A55" r:id="rId23" xr:uid="{F4CEB185-33D6-4C9E-952E-85B7B5BCBE44}"/>
    <hyperlink ref="A56" r:id="rId24" xr:uid="{9B0C4E61-B49C-4643-95C6-5D98FE211FD3}"/>
    <hyperlink ref="A67" r:id="rId25" xr:uid="{13C33A0D-1396-486C-9FE4-37E8B2834828}"/>
    <hyperlink ref="A68" r:id="rId26" xr:uid="{D8AA50CF-6C6B-408F-9CED-54CCA4C564BB}"/>
    <hyperlink ref="A70" r:id="rId27" xr:uid="{C57C3F00-09B9-46C7-9B60-3305B4AD24EE}"/>
    <hyperlink ref="A71" r:id="rId28" xr:uid="{30722767-6BA7-40AF-B6A5-9523B0FF6F66}"/>
    <hyperlink ref="A58" r:id="rId29" xr:uid="{023116FB-89C8-4687-A291-7DCDBE323529}"/>
    <hyperlink ref="A81:B81" r:id="rId30" display="Goggles" xr:uid="{B1836B17-8940-40DB-AA21-0DF9D89D97AC}"/>
    <hyperlink ref="A77" r:id="rId31" xr:uid="{30435F96-EA7F-46C5-B782-BA50545F4FB2}"/>
    <hyperlink ref="A85" r:id="rId32" xr:uid="{1CBA0FAB-456D-40C7-BC11-D147336CECF6}"/>
    <hyperlink ref="A21" r:id="rId33" xr:uid="{608684CD-35B0-43E1-B180-45D49E4A3363}"/>
    <hyperlink ref="A11:C11" r:id="rId34" display="Black Whirl-Pak Bags" xr:uid="{DFD18B37-2711-4C54-B6C0-F58AC6145EDA}"/>
    <hyperlink ref="A32:C32" r:id="rId35" display="Black Whirl-Pak Bags" xr:uid="{F604F581-01FD-4280-9644-F5E3C525D3E5}"/>
    <hyperlink ref="A43:B43" r:id="rId36" display="Black Whirl-Pak Bags" xr:uid="{6831C2C5-7A30-4638-9B66-8D54A6CB6668}"/>
    <hyperlink ref="A65" r:id="rId37" xr:uid="{8ECFB7C9-08E5-4B52-A522-EC718B42494F}"/>
    <hyperlink ref="A36" r:id="rId38" xr:uid="{D087DF1F-0787-4A95-B2E7-BDF906792570}"/>
    <hyperlink ref="A45:B45" r:id="rId39" display="Organic Cotton Tampons" xr:uid="{016DB117-E7A9-4826-B960-D90700F4C07F}"/>
    <hyperlink ref="A48:B48" r:id="rId40" display="Waste Bin" xr:uid="{379E688D-C442-490A-A3C1-CEC53835714F}"/>
    <hyperlink ref="A50:B50" r:id="rId41" display="Goggles" xr:uid="{266C6AC5-ED30-418A-B90F-29CF3B391F49}"/>
    <hyperlink ref="A53:B53" r:id="rId42" display="Plastic Bottle" xr:uid="{1B6C475A-A289-4D38-B935-AACEB8F842D3}"/>
    <hyperlink ref="A69" r:id="rId43" xr:uid="{1FECE762-598D-4982-96A1-A08FC89DDAE1}"/>
    <hyperlink ref="A66" r:id="rId44" xr:uid="{AB382F58-D436-492D-A3A3-DD2D3B8C9B91}"/>
    <hyperlink ref="A14:C14" r:id="rId45" display="Fine Tip Sharpie" xr:uid="{048D5480-2B64-42E5-B439-0DB4A0A0B5C1}"/>
    <hyperlink ref="A22:C22" r:id="rId46" display="Box Cutter/Scalpel" xr:uid="{31195A4B-8DE0-49FC-AAE2-BC5D65B5E37A}"/>
    <hyperlink ref="A23:C23" r:id="rId47" display="Monofilament Line" xr:uid="{FE9B46CD-89C5-4BA1-87E0-AA47351E83CB}"/>
    <hyperlink ref="A37" r:id="rId48" xr:uid="{EA76A1FF-351A-4C06-B7F8-B784453F8D66}"/>
    <hyperlink ref="A37:C37" r:id="rId49" display="Monofilament Line" xr:uid="{4C36ED20-E4D6-4B5E-82CE-BA1076D2E732}"/>
    <hyperlink ref="A46:B46" r:id="rId50" display="Fine Tip Sharpie" xr:uid="{649AA92D-5A48-4FAB-BF90-FB1443B24F00}"/>
    <hyperlink ref="A54:B54" r:id="rId51" display="Box Cutter/Scalpel" xr:uid="{E3945A4D-630D-4F7A-81E7-A4AD045FE870}"/>
    <hyperlink ref="A55:B55" r:id="rId52" display="Monofilament Line" xr:uid="{33CA8D0C-87B6-4B06-9B8E-224AA6605BEA}"/>
    <hyperlink ref="A80:B80" r:id="rId53" display="Waste Bin" xr:uid="{0346B837-297D-4378-8832-792E8459B97F}"/>
    <hyperlink ref="A78" r:id="rId54" xr:uid="{580D33B3-CF1C-4B59-A357-B53778709739}"/>
    <hyperlink ref="A79" r:id="rId55" xr:uid="{BD79C693-FC9B-47AB-9B9B-86D5441CB0E1}"/>
    <hyperlink ref="A78:C78" r:id="rId56" display="Fine Tip Sharpie" xr:uid="{D243A839-EDC8-46BD-9EF4-A64B0770C6E9}"/>
    <hyperlink ref="A83" r:id="rId57" xr:uid="{13D726A8-D484-4042-8294-19ACC9FBBAF9}"/>
    <hyperlink ref="A83:C83" r:id="rId58" display="Box Cutter/Scalpel" xr:uid="{25521464-7CF3-47BA-8AFD-649EA459DCA4}"/>
    <hyperlink ref="A26:C26" r:id="rId59" display="Extension Pole" xr:uid="{FBE3590D-8982-49CA-88CF-DE8DD7A30920}"/>
    <hyperlink ref="A58:B58" r:id="rId60" display="Extension Pole" xr:uid="{24234E73-7A28-441C-B631-844D889890C8}"/>
    <hyperlink ref="A86:B86" r:id="rId61" display="One Gallon Bucket" xr:uid="{73AA03F4-45A5-443E-A75F-EF6084926C63}"/>
    <hyperlink ref="A85:C85" r:id="rId62" display="Extension Pole" xr:uid="{F34E1DFD-3757-4E1B-9538-59EC264E4B73}"/>
    <hyperlink ref="A59" r:id="rId63" display="One Gallon Bucket" xr:uid="{C1D8A2C7-0FBB-4468-B2B4-B340B100527E}"/>
    <hyperlink ref="A27:B27" r:id="rId64" display="One Gallon Bucket" xr:uid="{C608580A-EEB3-4F1A-B098-1D0CCE2CA5E1}"/>
    <hyperlink ref="A33:C33" r:id="rId65" display="Organic Cotton Tampons" xr:uid="{2620A1D5-D58A-4E8A-8FC9-ED46CD629DF3}"/>
  </hyperlinks>
  <pageMargins left="0.7" right="0.7" top="0.75" bottom="0.75" header="0.3" footer="0.3"/>
  <pageSetup orientation="portrait" horizontalDpi="1200" verticalDpi="1200" r:id="rId66"/>
  <ignoredErrors>
    <ignoredError sqref="E22" formula="1"/>
  </ignoredErrors>
  <legacyDrawing r:id="rId6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0AE6-8642-4709-A96A-17AC36B6D3AE}">
  <dimension ref="A1:L98"/>
  <sheetViews>
    <sheetView workbookViewId="0">
      <selection activeCell="A83" sqref="A83:C83"/>
    </sheetView>
  </sheetViews>
  <sheetFormatPr defaultRowHeight="14.4" x14ac:dyDescent="0.3"/>
  <cols>
    <col min="1" max="1" width="30.5546875" style="1" bestFit="1" customWidth="1"/>
    <col min="2" max="2" width="30.5546875" style="1" customWidth="1"/>
    <col min="3" max="3" width="21.33203125" style="1" customWidth="1"/>
    <col min="4" max="4" width="9.6640625" style="25" bestFit="1" customWidth="1"/>
    <col min="5" max="5" width="10.109375" style="1" bestFit="1" customWidth="1"/>
    <col min="6" max="6" width="11.33203125" style="1" bestFit="1" customWidth="1"/>
    <col min="7" max="7" width="54.77734375" customWidth="1"/>
    <col min="8" max="8" width="6.5546875" customWidth="1"/>
  </cols>
  <sheetData>
    <row r="1" spans="1:12" s="1" customFormat="1" ht="14.4" customHeight="1" x14ac:dyDescent="0.3">
      <c r="A1" s="73" t="s">
        <v>117</v>
      </c>
      <c r="B1" s="73"/>
      <c r="C1" s="73"/>
      <c r="D1" s="73"/>
      <c r="E1" s="73"/>
      <c r="F1" s="73"/>
      <c r="G1" s="73"/>
      <c r="H1" s="10"/>
      <c r="I1" s="97" t="s">
        <v>145</v>
      </c>
      <c r="J1" s="98"/>
      <c r="K1" s="98"/>
      <c r="L1" s="99"/>
    </row>
    <row r="2" spans="1:12" s="1" customFormat="1" ht="14.4" customHeight="1" x14ac:dyDescent="0.3">
      <c r="A2" s="96" t="s">
        <v>118</v>
      </c>
      <c r="B2" s="96"/>
      <c r="C2" s="11" t="s">
        <v>62</v>
      </c>
      <c r="D2" s="11"/>
      <c r="E2" s="11"/>
      <c r="F2" s="11"/>
      <c r="G2" s="11"/>
      <c r="I2" s="100"/>
      <c r="J2" s="70"/>
      <c r="K2" s="70"/>
      <c r="L2" s="101"/>
    </row>
    <row r="3" spans="1:12" s="1" customFormat="1" ht="15" thickBot="1" x14ac:dyDescent="0.35">
      <c r="A3" s="87" t="s">
        <v>260</v>
      </c>
      <c r="B3" s="87"/>
      <c r="C3" s="32"/>
      <c r="D3" s="86"/>
      <c r="E3" s="86"/>
      <c r="F3" s="86"/>
      <c r="G3" s="86"/>
      <c r="I3" s="100"/>
      <c r="J3" s="70"/>
      <c r="K3" s="70"/>
      <c r="L3" s="101"/>
    </row>
    <row r="4" spans="1:12" s="1" customFormat="1" ht="15" thickBot="1" x14ac:dyDescent="0.35">
      <c r="A4" s="86"/>
      <c r="B4" s="86"/>
      <c r="C4" s="86"/>
      <c r="D4" s="86"/>
      <c r="E4" s="86"/>
      <c r="F4" s="86"/>
      <c r="G4" s="86"/>
      <c r="I4" s="100"/>
      <c r="J4" s="70"/>
      <c r="K4" s="70"/>
      <c r="L4" s="101"/>
    </row>
    <row r="5" spans="1:12" ht="14.4" customHeight="1" x14ac:dyDescent="0.3">
      <c r="A5" s="73" t="s">
        <v>66</v>
      </c>
      <c r="B5" s="73"/>
      <c r="C5" s="73"/>
      <c r="D5" s="73"/>
      <c r="E5" s="73"/>
      <c r="F5" s="73"/>
      <c r="G5" s="95"/>
      <c r="H5" s="68"/>
      <c r="I5" s="100"/>
      <c r="J5" s="70"/>
      <c r="K5" s="70"/>
      <c r="L5" s="101"/>
    </row>
    <row r="6" spans="1:12" ht="15" customHeight="1" x14ac:dyDescent="0.3">
      <c r="A6" s="96" t="s">
        <v>49</v>
      </c>
      <c r="B6" s="96"/>
      <c r="C6" s="96"/>
      <c r="D6" s="11" t="s">
        <v>1</v>
      </c>
      <c r="E6" s="13" t="s">
        <v>0</v>
      </c>
      <c r="F6" s="11" t="s">
        <v>2</v>
      </c>
      <c r="G6" s="11" t="s">
        <v>17</v>
      </c>
      <c r="I6" s="100"/>
      <c r="J6" s="70"/>
      <c r="K6" s="70"/>
      <c r="L6" s="101"/>
    </row>
    <row r="7" spans="1:12" x14ac:dyDescent="0.3">
      <c r="A7" s="94" t="s">
        <v>22</v>
      </c>
      <c r="B7" s="94"/>
      <c r="C7" s="94"/>
      <c r="D7" s="4">
        <v>191.5</v>
      </c>
      <c r="E7" s="14"/>
      <c r="F7" s="4">
        <f>D7*E7</f>
        <v>0</v>
      </c>
      <c r="G7" s="1"/>
      <c r="I7" s="100"/>
      <c r="J7" s="70"/>
      <c r="K7" s="70"/>
      <c r="L7" s="101"/>
    </row>
    <row r="8" spans="1:12" x14ac:dyDescent="0.3">
      <c r="A8" s="94" t="s">
        <v>4</v>
      </c>
      <c r="B8" s="94"/>
      <c r="C8" s="94"/>
      <c r="D8" s="4">
        <v>49.57</v>
      </c>
      <c r="E8" s="14"/>
      <c r="F8" s="4">
        <f t="shared" ref="F8:F13" si="0">D8*E8</f>
        <v>0</v>
      </c>
      <c r="G8" s="1" t="s">
        <v>75</v>
      </c>
      <c r="I8" s="100"/>
      <c r="J8" s="70"/>
      <c r="K8" s="70"/>
      <c r="L8" s="101"/>
    </row>
    <row r="9" spans="1:12" x14ac:dyDescent="0.3">
      <c r="A9" s="94" t="s">
        <v>44</v>
      </c>
      <c r="B9" s="94"/>
      <c r="C9" s="94"/>
      <c r="D9" s="4">
        <v>68.83</v>
      </c>
      <c r="E9" s="14"/>
      <c r="F9" s="4">
        <f t="shared" si="0"/>
        <v>0</v>
      </c>
      <c r="G9" s="1" t="s">
        <v>75</v>
      </c>
      <c r="I9" s="100"/>
      <c r="J9" s="70"/>
      <c r="K9" s="70"/>
      <c r="L9" s="101"/>
    </row>
    <row r="10" spans="1:12" x14ac:dyDescent="0.3">
      <c r="A10" s="94" t="s">
        <v>23</v>
      </c>
      <c r="B10" s="94"/>
      <c r="C10" s="94"/>
      <c r="D10" s="4">
        <v>5.25</v>
      </c>
      <c r="E10" s="14"/>
      <c r="F10" s="4">
        <f t="shared" si="0"/>
        <v>0</v>
      </c>
      <c r="G10" s="1" t="s">
        <v>19</v>
      </c>
      <c r="I10" s="102"/>
      <c r="J10" s="103"/>
      <c r="K10" s="103"/>
      <c r="L10" s="104"/>
    </row>
    <row r="11" spans="1:12" x14ac:dyDescent="0.3">
      <c r="A11" s="94" t="s">
        <v>24</v>
      </c>
      <c r="B11" s="94"/>
      <c r="C11" s="94"/>
      <c r="D11" s="4">
        <v>8.09</v>
      </c>
      <c r="E11" s="14"/>
      <c r="F11" s="4">
        <f t="shared" si="0"/>
        <v>0</v>
      </c>
      <c r="G11" s="1" t="s">
        <v>296</v>
      </c>
    </row>
    <row r="12" spans="1:12" x14ac:dyDescent="0.3">
      <c r="A12" s="94" t="s">
        <v>25</v>
      </c>
      <c r="B12" s="94"/>
      <c r="C12" s="94"/>
      <c r="D12" s="4">
        <v>9</v>
      </c>
      <c r="E12" s="14"/>
      <c r="F12" s="4">
        <f t="shared" si="0"/>
        <v>0</v>
      </c>
      <c r="G12" s="1" t="s">
        <v>19</v>
      </c>
    </row>
    <row r="13" spans="1:12" x14ac:dyDescent="0.3">
      <c r="A13" s="94" t="s">
        <v>191</v>
      </c>
      <c r="B13" s="94"/>
      <c r="C13" s="94"/>
      <c r="D13" s="4">
        <v>7.98</v>
      </c>
      <c r="E13" s="14"/>
      <c r="F13" s="4">
        <f t="shared" si="0"/>
        <v>0</v>
      </c>
      <c r="G13" s="1" t="s">
        <v>41</v>
      </c>
    </row>
    <row r="14" spans="1:12" x14ac:dyDescent="0.3">
      <c r="A14" s="94" t="s">
        <v>298</v>
      </c>
      <c r="B14" s="94"/>
      <c r="C14" s="94"/>
      <c r="D14" s="4">
        <v>13.98</v>
      </c>
      <c r="E14" s="14"/>
      <c r="F14" s="4">
        <f t="shared" ref="F14:F18" si="1">D14*E14</f>
        <v>0</v>
      </c>
      <c r="G14" s="1" t="s">
        <v>41</v>
      </c>
    </row>
    <row r="15" spans="1:12" x14ac:dyDescent="0.3">
      <c r="A15" s="94" t="s">
        <v>204</v>
      </c>
      <c r="B15" s="94"/>
      <c r="C15" s="94"/>
      <c r="D15" s="4">
        <v>6.48</v>
      </c>
      <c r="E15" s="14"/>
      <c r="F15" s="4">
        <f t="shared" si="1"/>
        <v>0</v>
      </c>
      <c r="G15" s="1"/>
      <c r="I15" s="7"/>
      <c r="J15" s="7"/>
      <c r="K15" s="7"/>
      <c r="L15" s="7"/>
    </row>
    <row r="16" spans="1:12" x14ac:dyDescent="0.3">
      <c r="A16" s="89" t="s">
        <v>6</v>
      </c>
      <c r="B16" s="89"/>
      <c r="C16" s="89"/>
      <c r="D16" s="4">
        <v>1.37</v>
      </c>
      <c r="E16" s="14"/>
      <c r="F16" s="4">
        <f t="shared" si="1"/>
        <v>0</v>
      </c>
      <c r="G16" s="1"/>
      <c r="I16" s="7"/>
      <c r="J16" s="7"/>
      <c r="K16" s="7"/>
      <c r="L16" s="7"/>
    </row>
    <row r="17" spans="1:12" x14ac:dyDescent="0.3">
      <c r="A17" s="89" t="s">
        <v>196</v>
      </c>
      <c r="B17" s="89"/>
      <c r="C17" s="89"/>
      <c r="D17" s="4">
        <v>5.99</v>
      </c>
      <c r="E17" s="14"/>
      <c r="F17" s="4">
        <f>D17*E17</f>
        <v>0</v>
      </c>
      <c r="G17" s="1" t="s">
        <v>41</v>
      </c>
      <c r="I17" s="7"/>
      <c r="J17" s="7"/>
      <c r="K17" s="7"/>
      <c r="L17" s="7"/>
    </row>
    <row r="18" spans="1:12" x14ac:dyDescent="0.3">
      <c r="A18" s="89" t="s">
        <v>7</v>
      </c>
      <c r="B18" s="89"/>
      <c r="C18" s="89"/>
      <c r="D18" s="4">
        <v>12.99</v>
      </c>
      <c r="E18" s="14"/>
      <c r="F18" s="4">
        <f t="shared" si="1"/>
        <v>0</v>
      </c>
      <c r="G18" s="1" t="s">
        <v>41</v>
      </c>
      <c r="I18" s="7"/>
      <c r="J18" s="7"/>
      <c r="K18" s="7"/>
      <c r="L18" s="7"/>
    </row>
    <row r="19" spans="1:12" ht="15" thickBot="1" x14ac:dyDescent="0.35">
      <c r="A19" s="93" t="s">
        <v>8</v>
      </c>
      <c r="B19" s="93"/>
      <c r="C19" s="93"/>
      <c r="D19" s="5">
        <v>8.68</v>
      </c>
      <c r="E19" s="18"/>
      <c r="F19" s="5">
        <f>D19*E19</f>
        <v>0</v>
      </c>
      <c r="G19" s="2"/>
      <c r="I19" s="7"/>
      <c r="J19" s="7"/>
      <c r="K19" s="7"/>
      <c r="L19" s="7"/>
    </row>
    <row r="20" spans="1:12" ht="15" thickBot="1" x14ac:dyDescent="0.35">
      <c r="A20" s="91" t="s">
        <v>35</v>
      </c>
      <c r="B20" s="91"/>
      <c r="C20" s="91"/>
      <c r="D20" s="91"/>
      <c r="E20" s="91"/>
      <c r="F20" s="5">
        <f>SUM(F7:F19)</f>
        <v>0</v>
      </c>
      <c r="G20" s="2"/>
    </row>
    <row r="21" spans="1:12" x14ac:dyDescent="0.3">
      <c r="A21" s="92"/>
      <c r="B21" s="92"/>
      <c r="C21" s="92"/>
      <c r="D21" s="92"/>
      <c r="E21" s="92"/>
      <c r="F21" s="92"/>
      <c r="G21" s="92"/>
    </row>
    <row r="22" spans="1:12" ht="14.4" customHeight="1" x14ac:dyDescent="0.3">
      <c r="A22" s="73" t="s">
        <v>139</v>
      </c>
      <c r="B22" s="73"/>
      <c r="C22" s="73"/>
      <c r="D22" s="73"/>
      <c r="E22" s="73"/>
      <c r="F22" s="73"/>
      <c r="G22" s="73"/>
    </row>
    <row r="23" spans="1:12" ht="28.8" x14ac:dyDescent="0.3">
      <c r="A23" s="111" t="s">
        <v>49</v>
      </c>
      <c r="B23" s="111"/>
      <c r="C23" s="19" t="s">
        <v>103</v>
      </c>
      <c r="D23" s="13" t="s">
        <v>1</v>
      </c>
      <c r="E23" s="13" t="s">
        <v>0</v>
      </c>
      <c r="F23" s="13" t="s">
        <v>35</v>
      </c>
      <c r="G23" s="13" t="s">
        <v>17</v>
      </c>
    </row>
    <row r="24" spans="1:12" x14ac:dyDescent="0.3">
      <c r="A24" s="94" t="s">
        <v>26</v>
      </c>
      <c r="B24" s="94"/>
      <c r="C24" s="17"/>
      <c r="D24" s="4">
        <v>17.48</v>
      </c>
      <c r="E24" s="15">
        <f>ROUNDUP((C24/50)*12,0)</f>
        <v>0</v>
      </c>
      <c r="F24" s="4">
        <f>D24*E24</f>
        <v>0</v>
      </c>
      <c r="G24" s="1"/>
    </row>
    <row r="25" spans="1:12" x14ac:dyDescent="0.3">
      <c r="A25" s="94" t="s">
        <v>27</v>
      </c>
      <c r="B25" s="94"/>
      <c r="C25" s="31">
        <f>C24</f>
        <v>0</v>
      </c>
      <c r="D25" s="4">
        <v>17.809999999999999</v>
      </c>
      <c r="E25" s="15">
        <f>ROUNDUP((C25/50)*12,0)</f>
        <v>0</v>
      </c>
      <c r="F25" s="4">
        <f>D25*E25</f>
        <v>0</v>
      </c>
      <c r="G25" s="1"/>
    </row>
    <row r="26" spans="1:12" x14ac:dyDescent="0.3">
      <c r="A26" s="94" t="s">
        <v>28</v>
      </c>
      <c r="B26" s="94"/>
      <c r="C26" s="31">
        <f>C24</f>
        <v>0</v>
      </c>
      <c r="D26" s="4">
        <v>26.79</v>
      </c>
      <c r="E26" s="15">
        <f>ROUNDUP((C26/25)*12,0)</f>
        <v>0</v>
      </c>
      <c r="F26" s="4">
        <f t="shared" ref="F26:F27" si="2">D26*E26</f>
        <v>0</v>
      </c>
      <c r="G26" s="1"/>
    </row>
    <row r="27" spans="1:12" x14ac:dyDescent="0.3">
      <c r="A27" s="94" t="s">
        <v>29</v>
      </c>
      <c r="B27" s="94"/>
      <c r="C27" s="31">
        <f>C24</f>
        <v>0</v>
      </c>
      <c r="D27" s="4">
        <v>27.6</v>
      </c>
      <c r="E27" s="15">
        <f>ROUNDUP((C27/58)*12,0)</f>
        <v>0</v>
      </c>
      <c r="F27" s="4">
        <f t="shared" si="2"/>
        <v>0</v>
      </c>
      <c r="G27" s="1"/>
    </row>
    <row r="28" spans="1:12" x14ac:dyDescent="0.3">
      <c r="A28" s="94" t="s">
        <v>52</v>
      </c>
      <c r="B28" s="94"/>
      <c r="C28" s="31">
        <f>C24</f>
        <v>0</v>
      </c>
      <c r="D28" s="4">
        <v>98.49</v>
      </c>
      <c r="E28" s="15">
        <f>ROUNDUP((C28/100)*12,0)</f>
        <v>0</v>
      </c>
      <c r="F28" s="4">
        <f>D28*E28</f>
        <v>0</v>
      </c>
      <c r="G28" s="1"/>
    </row>
    <row r="29" spans="1:12" x14ac:dyDescent="0.3">
      <c r="A29" s="108" t="s">
        <v>78</v>
      </c>
      <c r="B29" s="108"/>
      <c r="C29" s="45">
        <f>C24</f>
        <v>0</v>
      </c>
      <c r="D29" s="4">
        <v>1.37</v>
      </c>
      <c r="E29" s="15">
        <f>ROUNDUP((C29/48)*12,0)</f>
        <v>0</v>
      </c>
      <c r="F29" s="4">
        <f>D29*E29</f>
        <v>0</v>
      </c>
      <c r="G29" s="1" t="s">
        <v>212</v>
      </c>
    </row>
    <row r="30" spans="1:12" ht="15" thickBot="1" x14ac:dyDescent="0.35">
      <c r="A30" s="114" t="s">
        <v>8</v>
      </c>
      <c r="B30" s="114"/>
      <c r="C30" s="47">
        <f>C24</f>
        <v>0</v>
      </c>
      <c r="D30" s="5">
        <v>8.68</v>
      </c>
      <c r="E30" s="16">
        <f>ROUNDUP((C30/50)*12,0)</f>
        <v>0</v>
      </c>
      <c r="F30" s="5">
        <f>D30*E30</f>
        <v>0</v>
      </c>
      <c r="G30" s="2"/>
    </row>
    <row r="31" spans="1:12" ht="15" thickBot="1" x14ac:dyDescent="0.35">
      <c r="A31" s="91" t="s">
        <v>35</v>
      </c>
      <c r="B31" s="91"/>
      <c r="C31" s="91"/>
      <c r="D31" s="91"/>
      <c r="E31" s="91"/>
      <c r="F31" s="5">
        <f>SUM(F24:F30)</f>
        <v>0</v>
      </c>
      <c r="G31" s="29"/>
    </row>
    <row r="32" spans="1:12" x14ac:dyDescent="0.3">
      <c r="A32" s="71"/>
      <c r="B32" s="71"/>
      <c r="C32" s="71"/>
      <c r="D32" s="71"/>
      <c r="E32" s="71"/>
      <c r="F32" s="71"/>
      <c r="G32" s="71"/>
    </row>
    <row r="33" spans="1:8" x14ac:dyDescent="0.3">
      <c r="A33" s="73" t="s">
        <v>76</v>
      </c>
      <c r="B33" s="73"/>
      <c r="C33" s="73"/>
      <c r="D33" s="73"/>
      <c r="E33" s="73"/>
      <c r="F33" s="73"/>
      <c r="G33" s="73"/>
    </row>
    <row r="34" spans="1:8" x14ac:dyDescent="0.3">
      <c r="A34" s="111" t="s">
        <v>49</v>
      </c>
      <c r="B34" s="111"/>
      <c r="C34" s="19" t="s">
        <v>61</v>
      </c>
      <c r="D34" s="19" t="s">
        <v>72</v>
      </c>
      <c r="E34" s="13" t="s">
        <v>62</v>
      </c>
      <c r="F34" s="13" t="s">
        <v>2</v>
      </c>
      <c r="G34" s="13" t="s">
        <v>17</v>
      </c>
      <c r="H34" s="28"/>
    </row>
    <row r="35" spans="1:8" x14ac:dyDescent="0.3">
      <c r="A35" s="94" t="s">
        <v>113</v>
      </c>
      <c r="B35" s="94"/>
      <c r="C35" s="17"/>
      <c r="D35" s="26">
        <v>191.5</v>
      </c>
      <c r="E35" s="31">
        <f>ROUNDUP((C35/2)+C3, 0)</f>
        <v>0</v>
      </c>
      <c r="F35" s="4">
        <f>D35*E35</f>
        <v>0</v>
      </c>
      <c r="G35" s="1"/>
    </row>
    <row r="36" spans="1:8" x14ac:dyDescent="0.3">
      <c r="A36" s="94" t="s">
        <v>108</v>
      </c>
      <c r="B36" s="94"/>
      <c r="C36" s="46">
        <f>C35</f>
        <v>0</v>
      </c>
      <c r="D36" s="26">
        <v>49.57</v>
      </c>
      <c r="E36" s="31">
        <f>ROUNDUP((C36/4)+C3, 0)</f>
        <v>0</v>
      </c>
      <c r="F36" s="4">
        <f t="shared" ref="F36:F47" si="3">D36*E36</f>
        <v>0</v>
      </c>
      <c r="G36" s="1" t="s">
        <v>75</v>
      </c>
    </row>
    <row r="37" spans="1:8" x14ac:dyDescent="0.3">
      <c r="A37" s="94" t="s">
        <v>109</v>
      </c>
      <c r="B37" s="94"/>
      <c r="C37" s="46">
        <f>C35</f>
        <v>0</v>
      </c>
      <c r="D37" s="26">
        <v>68.83</v>
      </c>
      <c r="E37" s="31">
        <f>ROUNDUP((C37/4)+C3, 0)</f>
        <v>0</v>
      </c>
      <c r="F37" s="4">
        <f t="shared" si="3"/>
        <v>0</v>
      </c>
      <c r="G37" s="1" t="s">
        <v>75</v>
      </c>
    </row>
    <row r="38" spans="1:8" x14ac:dyDescent="0.3">
      <c r="A38" s="94" t="s">
        <v>112</v>
      </c>
      <c r="B38" s="94"/>
      <c r="C38" s="48">
        <f>C35</f>
        <v>0</v>
      </c>
      <c r="D38" s="26">
        <v>5.25</v>
      </c>
      <c r="E38" s="31">
        <f>ROUNDUP((C38/4)+C3,0)</f>
        <v>0</v>
      </c>
      <c r="F38" s="4">
        <f t="shared" si="3"/>
        <v>0</v>
      </c>
      <c r="G38" s="1" t="s">
        <v>18</v>
      </c>
    </row>
    <row r="39" spans="1:8" x14ac:dyDescent="0.3">
      <c r="A39" s="94" t="s">
        <v>111</v>
      </c>
      <c r="B39" s="94"/>
      <c r="C39" s="48">
        <f>C35</f>
        <v>0</v>
      </c>
      <c r="D39" s="26">
        <v>8.09</v>
      </c>
      <c r="E39" s="31">
        <f>ROUNDUP((C39/4)+C3, 0)</f>
        <v>0</v>
      </c>
      <c r="F39" s="4">
        <f t="shared" si="3"/>
        <v>0</v>
      </c>
      <c r="G39" s="1" t="s">
        <v>19</v>
      </c>
    </row>
    <row r="40" spans="1:8" x14ac:dyDescent="0.3">
      <c r="A40" s="94" t="s">
        <v>110</v>
      </c>
      <c r="B40" s="94"/>
      <c r="C40" s="48">
        <f>C35</f>
        <v>0</v>
      </c>
      <c r="D40" s="26">
        <v>9</v>
      </c>
      <c r="E40" s="31">
        <f>ROUNDUP((C40/4)+C3, 0)</f>
        <v>0</v>
      </c>
      <c r="F40" s="4">
        <f t="shared" si="3"/>
        <v>0</v>
      </c>
      <c r="G40" s="1" t="s">
        <v>19</v>
      </c>
    </row>
    <row r="41" spans="1:8" x14ac:dyDescent="0.3">
      <c r="A41" s="94" t="s">
        <v>192</v>
      </c>
      <c r="B41" s="94"/>
      <c r="C41" s="48">
        <f>C35</f>
        <v>0</v>
      </c>
      <c r="D41" s="26">
        <v>7.98</v>
      </c>
      <c r="E41" s="31">
        <f>ROUNDUP((C41/4)+C3, 0)</f>
        <v>0</v>
      </c>
      <c r="F41" s="4">
        <f t="shared" si="3"/>
        <v>0</v>
      </c>
      <c r="G41" s="1"/>
    </row>
    <row r="42" spans="1:8" x14ac:dyDescent="0.3">
      <c r="A42" s="94" t="s">
        <v>299</v>
      </c>
      <c r="B42" s="94"/>
      <c r="C42" s="48">
        <f>C35</f>
        <v>0</v>
      </c>
      <c r="D42" s="26">
        <v>13.98</v>
      </c>
      <c r="E42" s="31">
        <f>ROUNDUP((C42/4)+C3, 0)</f>
        <v>0</v>
      </c>
      <c r="F42" s="4">
        <f t="shared" si="3"/>
        <v>0</v>
      </c>
      <c r="G42" s="1"/>
    </row>
    <row r="43" spans="1:8" x14ac:dyDescent="0.3">
      <c r="A43" s="94" t="s">
        <v>205</v>
      </c>
      <c r="B43" s="94"/>
      <c r="C43" s="46">
        <f>C35</f>
        <v>0</v>
      </c>
      <c r="D43" s="26">
        <v>6.48</v>
      </c>
      <c r="E43" s="31">
        <f>ROUNDUP((C43/2)+C3, 0)</f>
        <v>0</v>
      </c>
      <c r="F43" s="4">
        <f t="shared" si="3"/>
        <v>0</v>
      </c>
      <c r="G43" s="1"/>
    </row>
    <row r="44" spans="1:8" x14ac:dyDescent="0.3">
      <c r="A44" s="94" t="s">
        <v>70</v>
      </c>
      <c r="B44" s="94"/>
      <c r="C44" s="46">
        <f>C35</f>
        <v>0</v>
      </c>
      <c r="D44" s="26">
        <v>1.37</v>
      </c>
      <c r="E44" s="31">
        <f>ROUNDUP(((C44/2)+C3)/8, 0)</f>
        <v>0</v>
      </c>
      <c r="F44" s="4">
        <f t="shared" si="3"/>
        <v>0</v>
      </c>
      <c r="G44" s="1" t="s">
        <v>21</v>
      </c>
    </row>
    <row r="45" spans="1:8" x14ac:dyDescent="0.3">
      <c r="A45" s="94" t="s">
        <v>197</v>
      </c>
      <c r="B45" s="94"/>
      <c r="C45" s="46">
        <f>C35</f>
        <v>0</v>
      </c>
      <c r="D45" s="26">
        <v>5.99</v>
      </c>
      <c r="E45" s="31">
        <f>ROUNDUP((C45/4)+C3, 0)</f>
        <v>0</v>
      </c>
      <c r="F45" s="4">
        <f>D45*E45</f>
        <v>0</v>
      </c>
      <c r="G45" s="1"/>
    </row>
    <row r="46" spans="1:8" x14ac:dyDescent="0.3">
      <c r="A46" s="94" t="s">
        <v>7</v>
      </c>
      <c r="B46" s="94"/>
      <c r="C46" s="46">
        <f>C35</f>
        <v>0</v>
      </c>
      <c r="D46" s="26">
        <v>12.99</v>
      </c>
      <c r="E46" s="35">
        <f>ROUNDUP((C46+C3), 0)</f>
        <v>0</v>
      </c>
      <c r="F46" s="4">
        <f t="shared" si="3"/>
        <v>0</v>
      </c>
      <c r="G46" s="1" t="s">
        <v>19</v>
      </c>
    </row>
    <row r="47" spans="1:8" ht="15" thickBot="1" x14ac:dyDescent="0.35">
      <c r="A47" s="109" t="s">
        <v>8</v>
      </c>
      <c r="B47" s="109"/>
      <c r="C47" s="49">
        <f>C35</f>
        <v>0</v>
      </c>
      <c r="D47" s="27">
        <v>8.68</v>
      </c>
      <c r="E47" s="31">
        <f>ROUNDUP(((C47+C3)*2*3)/100, 0)</f>
        <v>0</v>
      </c>
      <c r="F47" s="4">
        <f t="shared" si="3"/>
        <v>0</v>
      </c>
      <c r="G47" s="36"/>
    </row>
    <row r="48" spans="1:8" ht="15" thickBot="1" x14ac:dyDescent="0.35">
      <c r="A48" s="125" t="s">
        <v>35</v>
      </c>
      <c r="B48" s="91"/>
      <c r="C48" s="91"/>
      <c r="D48" s="91"/>
      <c r="E48" s="91"/>
      <c r="F48" s="23">
        <f>SUM(F35:F47)</f>
        <v>0</v>
      </c>
      <c r="G48" s="29"/>
    </row>
    <row r="49" spans="1:7" x14ac:dyDescent="0.3">
      <c r="A49" s="76" t="s">
        <v>65</v>
      </c>
      <c r="B49" s="76"/>
      <c r="C49" s="76"/>
      <c r="D49" s="76"/>
      <c r="E49" s="76"/>
      <c r="F49" s="76"/>
      <c r="G49" s="76"/>
    </row>
    <row r="50" spans="1:7" s="1" customFormat="1" x14ac:dyDescent="0.3">
      <c r="A50" s="88" t="s">
        <v>107</v>
      </c>
      <c r="B50" s="88"/>
      <c r="C50" s="88"/>
      <c r="D50" s="88"/>
      <c r="E50" s="88"/>
      <c r="F50" s="88"/>
      <c r="G50" s="88"/>
    </row>
    <row r="51" spans="1:7" s="1" customFormat="1" x14ac:dyDescent="0.3">
      <c r="A51" s="88" t="s">
        <v>265</v>
      </c>
      <c r="B51" s="88"/>
      <c r="C51" s="88"/>
      <c r="D51" s="88"/>
      <c r="E51" s="88"/>
      <c r="F51" s="88"/>
      <c r="G51" s="88"/>
    </row>
    <row r="52" spans="1:7" s="1" customFormat="1" x14ac:dyDescent="0.3">
      <c r="A52" s="71"/>
      <c r="B52" s="71"/>
      <c r="C52" s="71"/>
      <c r="D52" s="71"/>
      <c r="E52" s="71"/>
      <c r="F52" s="71"/>
      <c r="G52" s="71"/>
    </row>
    <row r="53" spans="1:7" s="1" customFormat="1" x14ac:dyDescent="0.3">
      <c r="A53" s="73" t="s">
        <v>142</v>
      </c>
      <c r="B53" s="73"/>
      <c r="C53" s="73"/>
      <c r="D53" s="73"/>
      <c r="E53" s="73"/>
      <c r="F53" s="73"/>
      <c r="G53" s="73"/>
    </row>
    <row r="54" spans="1:7" s="1" customFormat="1" ht="28.8" x14ac:dyDescent="0.3">
      <c r="A54" s="13" t="s">
        <v>49</v>
      </c>
      <c r="B54" s="19" t="s">
        <v>71</v>
      </c>
      <c r="C54" s="19" t="s">
        <v>144</v>
      </c>
      <c r="D54" s="13" t="s">
        <v>72</v>
      </c>
      <c r="E54" s="19" t="s">
        <v>62</v>
      </c>
      <c r="F54" s="13" t="s">
        <v>35</v>
      </c>
      <c r="G54" s="13" t="s">
        <v>17</v>
      </c>
    </row>
    <row r="55" spans="1:7" s="1" customFormat="1" x14ac:dyDescent="0.3">
      <c r="A55" s="9" t="s">
        <v>26</v>
      </c>
      <c r="B55" s="14"/>
      <c r="C55" s="14"/>
      <c r="D55" s="26">
        <v>17.48</v>
      </c>
      <c r="E55" s="15">
        <f>ROUNDUP((B55/(50/3))*((C55/2)+C3),0)</f>
        <v>0</v>
      </c>
      <c r="F55" s="4">
        <f>E55*D55</f>
        <v>0</v>
      </c>
    </row>
    <row r="56" spans="1:7" s="1" customFormat="1" x14ac:dyDescent="0.3">
      <c r="A56" s="9" t="s">
        <v>27</v>
      </c>
      <c r="B56" s="15">
        <f>B55</f>
        <v>0</v>
      </c>
      <c r="C56" s="15">
        <f>C55</f>
        <v>0</v>
      </c>
      <c r="D56" s="26">
        <v>17.809999999999999</v>
      </c>
      <c r="E56" s="15">
        <f>ROUNDUP((B56/(50/3))*((C56/2)+C3),0)</f>
        <v>0</v>
      </c>
      <c r="F56" s="4">
        <f t="shared" ref="F56:F61" si="4">E56*D56</f>
        <v>0</v>
      </c>
    </row>
    <row r="57" spans="1:7" s="1" customFormat="1" x14ac:dyDescent="0.3">
      <c r="A57" s="9" t="s">
        <v>28</v>
      </c>
      <c r="B57" s="31">
        <f>B55</f>
        <v>0</v>
      </c>
      <c r="C57" s="15">
        <f>C55</f>
        <v>0</v>
      </c>
      <c r="D57" s="26">
        <v>26.79</v>
      </c>
      <c r="E57" s="15">
        <f>ROUNDUP((B57/(25/3))*((C57/2)+C3),0)</f>
        <v>0</v>
      </c>
      <c r="F57" s="4">
        <f t="shared" si="4"/>
        <v>0</v>
      </c>
    </row>
    <row r="58" spans="1:7" s="1" customFormat="1" x14ac:dyDescent="0.3">
      <c r="A58" s="9" t="s">
        <v>101</v>
      </c>
      <c r="B58" s="31">
        <f>B55</f>
        <v>0</v>
      </c>
      <c r="C58" s="15">
        <f>C55</f>
        <v>0</v>
      </c>
      <c r="D58" s="26">
        <v>27.6</v>
      </c>
      <c r="E58" s="15">
        <f>ROUNDUP(B58/(58/3),0)*ROUNDUP((C58/2)+C3,0)</f>
        <v>0</v>
      </c>
      <c r="F58" s="4">
        <f t="shared" si="4"/>
        <v>0</v>
      </c>
    </row>
    <row r="59" spans="1:7" s="1" customFormat="1" x14ac:dyDescent="0.3">
      <c r="A59" s="9" t="s">
        <v>52</v>
      </c>
      <c r="B59" s="31">
        <f>B55</f>
        <v>0</v>
      </c>
      <c r="C59" s="15">
        <f>C55</f>
        <v>0</v>
      </c>
      <c r="D59" s="26">
        <v>98.49</v>
      </c>
      <c r="E59" s="15">
        <f>ROUNDUP((B59/(100/3))*((C59/2)+C3),0)</f>
        <v>0</v>
      </c>
      <c r="F59" s="4">
        <f t="shared" si="4"/>
        <v>0</v>
      </c>
    </row>
    <row r="60" spans="1:7" s="1" customFormat="1" x14ac:dyDescent="0.3">
      <c r="A60" s="24" t="s">
        <v>266</v>
      </c>
      <c r="B60" s="31">
        <f>B55</f>
        <v>0</v>
      </c>
      <c r="C60" s="15">
        <f>C55</f>
        <v>0</v>
      </c>
      <c r="D60" s="26">
        <v>1.37</v>
      </c>
      <c r="E60" s="15">
        <f>ROUNDUP((B60/16)*((C60/2)+C3),0)</f>
        <v>0</v>
      </c>
      <c r="F60" s="4">
        <f t="shared" si="4"/>
        <v>0</v>
      </c>
    </row>
    <row r="61" spans="1:7" s="1" customFormat="1" ht="15" thickBot="1" x14ac:dyDescent="0.35">
      <c r="A61" s="30" t="s">
        <v>8</v>
      </c>
      <c r="B61" s="31">
        <f>B55</f>
        <v>0</v>
      </c>
      <c r="C61" s="15">
        <f>C55</f>
        <v>0</v>
      </c>
      <c r="D61" s="26">
        <v>8.68</v>
      </c>
      <c r="E61" s="15">
        <f>ROUNDUP(((B61*(C61+C3)*6)/100), 0)</f>
        <v>0</v>
      </c>
      <c r="F61" s="4">
        <f t="shared" si="4"/>
        <v>0</v>
      </c>
      <c r="G61" s="2"/>
    </row>
    <row r="62" spans="1:7" ht="15" thickBot="1" x14ac:dyDescent="0.35">
      <c r="A62" s="91" t="s">
        <v>35</v>
      </c>
      <c r="B62" s="91"/>
      <c r="C62" s="91"/>
      <c r="D62" s="91"/>
      <c r="E62" s="91"/>
      <c r="F62" s="6">
        <f>SUM(F55:F61)</f>
        <v>0</v>
      </c>
      <c r="G62" s="2"/>
    </row>
    <row r="63" spans="1:7" x14ac:dyDescent="0.3">
      <c r="A63" s="110" t="s">
        <v>102</v>
      </c>
      <c r="B63" s="110"/>
      <c r="C63" s="110"/>
      <c r="D63" s="110"/>
      <c r="E63" s="110"/>
      <c r="F63" s="110"/>
      <c r="G63" s="110"/>
    </row>
    <row r="64" spans="1:7" s="1" customFormat="1" x14ac:dyDescent="0.3">
      <c r="A64" s="88" t="s">
        <v>267</v>
      </c>
      <c r="B64" s="88"/>
      <c r="C64" s="88"/>
      <c r="D64" s="88"/>
      <c r="E64" s="88"/>
      <c r="F64" s="88"/>
      <c r="G64" s="88"/>
    </row>
    <row r="65" spans="1:7" x14ac:dyDescent="0.3">
      <c r="A65" s="71"/>
      <c r="B65" s="71"/>
      <c r="C65" s="71"/>
      <c r="D65" s="71"/>
      <c r="E65" s="71"/>
      <c r="F65" s="71"/>
      <c r="G65" s="71"/>
    </row>
    <row r="66" spans="1:7" x14ac:dyDescent="0.3">
      <c r="A66" s="73" t="s">
        <v>67</v>
      </c>
      <c r="B66" s="73"/>
      <c r="C66" s="73"/>
      <c r="D66" s="73"/>
      <c r="E66" s="73"/>
      <c r="F66" s="73"/>
      <c r="G66" s="73"/>
    </row>
    <row r="67" spans="1:7" x14ac:dyDescent="0.3">
      <c r="A67" s="96" t="s">
        <v>49</v>
      </c>
      <c r="B67" s="96"/>
      <c r="C67" s="96"/>
      <c r="D67" s="11" t="s">
        <v>1</v>
      </c>
      <c r="E67" s="13" t="s">
        <v>0</v>
      </c>
      <c r="F67" s="11" t="s">
        <v>35</v>
      </c>
      <c r="G67" s="11" t="s">
        <v>17</v>
      </c>
    </row>
    <row r="68" spans="1:7" x14ac:dyDescent="0.3">
      <c r="A68" s="89" t="s">
        <v>219</v>
      </c>
      <c r="B68" s="89"/>
      <c r="C68" s="89"/>
      <c r="D68" s="4">
        <v>4.58</v>
      </c>
      <c r="E68" s="14"/>
      <c r="F68" s="4">
        <f t="shared" ref="F68:F83" si="5">D68*E68</f>
        <v>0</v>
      </c>
      <c r="G68" s="1"/>
    </row>
    <row r="69" spans="1:7" x14ac:dyDescent="0.3">
      <c r="A69" s="89" t="s">
        <v>50</v>
      </c>
      <c r="B69" s="89"/>
      <c r="C69" s="89"/>
      <c r="D69" s="4">
        <v>22.63</v>
      </c>
      <c r="E69" s="14"/>
      <c r="F69" s="4">
        <f t="shared" si="5"/>
        <v>0</v>
      </c>
      <c r="G69" s="1"/>
    </row>
    <row r="70" spans="1:7" x14ac:dyDescent="0.3">
      <c r="A70" s="94" t="s">
        <v>220</v>
      </c>
      <c r="B70" s="94"/>
      <c r="C70" s="94"/>
      <c r="D70" s="4">
        <v>29.53</v>
      </c>
      <c r="E70" s="14"/>
      <c r="F70" s="4">
        <f t="shared" si="5"/>
        <v>0</v>
      </c>
      <c r="G70" s="1"/>
    </row>
    <row r="71" spans="1:7" x14ac:dyDescent="0.3">
      <c r="A71" s="89" t="s">
        <v>198</v>
      </c>
      <c r="B71" s="89"/>
      <c r="C71" s="89"/>
      <c r="D71" s="4">
        <v>4.58</v>
      </c>
      <c r="E71" s="14"/>
      <c r="F71" s="4">
        <f t="shared" si="5"/>
        <v>0</v>
      </c>
      <c r="G71" s="1"/>
    </row>
    <row r="72" spans="1:7" x14ac:dyDescent="0.3">
      <c r="A72" s="94" t="s">
        <v>221</v>
      </c>
      <c r="B72" s="94"/>
      <c r="C72" s="94"/>
      <c r="D72" s="4">
        <v>14</v>
      </c>
      <c r="E72" s="14"/>
      <c r="F72" s="4">
        <f t="shared" si="5"/>
        <v>0</v>
      </c>
      <c r="G72" s="1"/>
    </row>
    <row r="73" spans="1:7" x14ac:dyDescent="0.3">
      <c r="A73" s="94" t="s">
        <v>53</v>
      </c>
      <c r="B73" s="94"/>
      <c r="C73" s="94"/>
      <c r="D73" s="4">
        <v>24.69</v>
      </c>
      <c r="E73" s="14"/>
      <c r="F73" s="4">
        <f t="shared" si="5"/>
        <v>0</v>
      </c>
      <c r="G73" s="1"/>
    </row>
    <row r="74" spans="1:7" x14ac:dyDescent="0.3">
      <c r="A74" s="94" t="s">
        <v>54</v>
      </c>
      <c r="B74" s="94"/>
      <c r="C74" s="94"/>
      <c r="D74" s="4">
        <v>28.9</v>
      </c>
      <c r="E74" s="14"/>
      <c r="F74" s="4">
        <f t="shared" si="5"/>
        <v>0</v>
      </c>
      <c r="G74" s="1"/>
    </row>
    <row r="75" spans="1:7" x14ac:dyDescent="0.3">
      <c r="A75" s="94" t="s">
        <v>55</v>
      </c>
      <c r="B75" s="94"/>
      <c r="C75" s="94"/>
      <c r="D75" s="4">
        <v>8.4</v>
      </c>
      <c r="E75" s="14"/>
      <c r="F75" s="4">
        <f t="shared" si="5"/>
        <v>0</v>
      </c>
      <c r="G75" s="1"/>
    </row>
    <row r="76" spans="1:7" x14ac:dyDescent="0.3">
      <c r="A76" s="94" t="s">
        <v>51</v>
      </c>
      <c r="B76" s="94"/>
      <c r="C76" s="94"/>
      <c r="D76" s="4">
        <v>0.59</v>
      </c>
      <c r="E76" s="14"/>
      <c r="F76" s="4">
        <f t="shared" si="5"/>
        <v>0</v>
      </c>
      <c r="G76" s="1"/>
    </row>
    <row r="77" spans="1:7" x14ac:dyDescent="0.3">
      <c r="A77" s="94" t="s">
        <v>4</v>
      </c>
      <c r="B77" s="94"/>
      <c r="C77" s="94"/>
      <c r="D77" s="4">
        <v>49.57</v>
      </c>
      <c r="E77" s="14"/>
      <c r="F77" s="4">
        <f t="shared" si="5"/>
        <v>0</v>
      </c>
      <c r="G77" s="1"/>
    </row>
    <row r="78" spans="1:7" x14ac:dyDescent="0.3">
      <c r="A78" s="94" t="s">
        <v>44</v>
      </c>
      <c r="B78" s="94"/>
      <c r="C78" s="94"/>
      <c r="D78" s="4">
        <v>68.83</v>
      </c>
      <c r="E78" s="14"/>
      <c r="F78" s="4">
        <f t="shared" si="5"/>
        <v>0</v>
      </c>
      <c r="G78" s="1"/>
    </row>
    <row r="79" spans="1:7" x14ac:dyDescent="0.3">
      <c r="A79" s="94" t="s">
        <v>23</v>
      </c>
      <c r="B79" s="94"/>
      <c r="C79" s="94"/>
      <c r="D79" s="4">
        <v>5.25</v>
      </c>
      <c r="E79" s="14"/>
      <c r="F79" s="4">
        <f t="shared" si="5"/>
        <v>0</v>
      </c>
      <c r="G79" s="1"/>
    </row>
    <row r="80" spans="1:7" x14ac:dyDescent="0.3">
      <c r="A80" s="94" t="s">
        <v>24</v>
      </c>
      <c r="B80" s="94"/>
      <c r="C80" s="94"/>
      <c r="D80" s="4">
        <v>8.09</v>
      </c>
      <c r="E80" s="14"/>
      <c r="F80" s="4">
        <f t="shared" si="5"/>
        <v>0</v>
      </c>
      <c r="G80" s="1"/>
    </row>
    <row r="81" spans="1:7" x14ac:dyDescent="0.3">
      <c r="A81" s="94" t="s">
        <v>25</v>
      </c>
      <c r="B81" s="94"/>
      <c r="C81" s="94"/>
      <c r="D81" s="4">
        <v>9</v>
      </c>
      <c r="E81" s="14"/>
      <c r="F81" s="4">
        <f t="shared" si="5"/>
        <v>0</v>
      </c>
      <c r="G81" s="1"/>
    </row>
    <row r="82" spans="1:7" x14ac:dyDescent="0.3">
      <c r="A82" s="94" t="s">
        <v>191</v>
      </c>
      <c r="B82" s="94"/>
      <c r="C82" s="94"/>
      <c r="D82" s="4">
        <v>7.98</v>
      </c>
      <c r="E82" s="14"/>
      <c r="F82" s="4">
        <f t="shared" si="5"/>
        <v>0</v>
      </c>
      <c r="G82" s="1"/>
    </row>
    <row r="83" spans="1:7" x14ac:dyDescent="0.3">
      <c r="A83" s="94" t="s">
        <v>298</v>
      </c>
      <c r="B83" s="94"/>
      <c r="C83" s="94"/>
      <c r="D83" s="4">
        <v>13.98</v>
      </c>
      <c r="E83" s="14"/>
      <c r="F83" s="4">
        <f t="shared" si="5"/>
        <v>0</v>
      </c>
      <c r="G83" s="1"/>
    </row>
    <row r="84" spans="1:7" x14ac:dyDescent="0.3">
      <c r="A84" s="94" t="s">
        <v>204</v>
      </c>
      <c r="B84" s="94"/>
      <c r="C84" s="94"/>
      <c r="D84" s="4">
        <v>6.48</v>
      </c>
      <c r="E84" s="14"/>
      <c r="F84" s="4">
        <f t="shared" ref="F84:F86" si="6">D84*E84</f>
        <v>0</v>
      </c>
      <c r="G84" s="1"/>
    </row>
    <row r="85" spans="1:7" x14ac:dyDescent="0.3">
      <c r="A85" s="89" t="s">
        <v>196</v>
      </c>
      <c r="B85" s="89"/>
      <c r="C85" s="89"/>
      <c r="D85" s="4">
        <v>5.99</v>
      </c>
      <c r="E85" s="14"/>
      <c r="F85" s="4">
        <f>D85*E85</f>
        <v>0</v>
      </c>
      <c r="G85" s="1"/>
    </row>
    <row r="86" spans="1:7" ht="15" thickBot="1" x14ac:dyDescent="0.35">
      <c r="A86" s="93" t="s">
        <v>7</v>
      </c>
      <c r="B86" s="93"/>
      <c r="C86" s="93"/>
      <c r="D86" s="5">
        <v>12.99</v>
      </c>
      <c r="E86" s="18"/>
      <c r="F86" s="5">
        <f t="shared" si="6"/>
        <v>0</v>
      </c>
      <c r="G86" s="2" t="s">
        <v>41</v>
      </c>
    </row>
    <row r="87" spans="1:7" ht="15" thickBot="1" x14ac:dyDescent="0.35">
      <c r="A87" s="91" t="s">
        <v>35</v>
      </c>
      <c r="B87" s="91"/>
      <c r="C87" s="91"/>
      <c r="D87" s="91"/>
      <c r="E87" s="91"/>
      <c r="F87" s="5">
        <f>SUM(F68:F86)</f>
        <v>0</v>
      </c>
      <c r="G87" s="29"/>
    </row>
    <row r="88" spans="1:7" x14ac:dyDescent="0.3">
      <c r="A88" s="110" t="s">
        <v>104</v>
      </c>
      <c r="B88" s="110"/>
      <c r="C88" s="110"/>
      <c r="D88" s="110"/>
      <c r="E88" s="110"/>
      <c r="F88" s="110"/>
      <c r="G88" s="110"/>
    </row>
    <row r="89" spans="1:7" x14ac:dyDescent="0.3">
      <c r="A89" s="76" t="s">
        <v>105</v>
      </c>
      <c r="B89" s="76"/>
      <c r="C89" s="76"/>
      <c r="D89" s="76"/>
      <c r="E89" s="76"/>
      <c r="F89" s="76"/>
      <c r="G89" s="76"/>
    </row>
    <row r="90" spans="1:7" x14ac:dyDescent="0.3">
      <c r="A90" s="71"/>
      <c r="B90" s="71"/>
      <c r="C90" s="71"/>
      <c r="D90" s="71"/>
      <c r="E90" s="71"/>
      <c r="F90" s="71"/>
      <c r="G90" s="71"/>
    </row>
    <row r="91" spans="1:7" x14ac:dyDescent="0.3">
      <c r="A91" s="73" t="s">
        <v>68</v>
      </c>
      <c r="B91" s="73"/>
      <c r="C91" s="73"/>
      <c r="D91" s="73"/>
      <c r="E91" s="73"/>
      <c r="F91" s="73"/>
      <c r="G91" s="73"/>
    </row>
    <row r="92" spans="1:7" x14ac:dyDescent="0.3">
      <c r="A92" s="96" t="s">
        <v>42</v>
      </c>
      <c r="B92" s="96"/>
      <c r="C92" s="96"/>
      <c r="D92" s="96"/>
      <c r="E92" s="22"/>
      <c r="F92" s="11" t="s">
        <v>43</v>
      </c>
      <c r="G92" s="11" t="s">
        <v>17</v>
      </c>
    </row>
    <row r="93" spans="1:7" x14ac:dyDescent="0.3">
      <c r="A93" s="76" t="s">
        <v>74</v>
      </c>
      <c r="B93" s="76"/>
      <c r="C93" s="76"/>
      <c r="D93" s="76"/>
      <c r="E93" s="76"/>
      <c r="F93" s="4">
        <f>F20</f>
        <v>0</v>
      </c>
      <c r="G93" s="1"/>
    </row>
    <row r="94" spans="1:7" x14ac:dyDescent="0.3">
      <c r="A94" s="76" t="s">
        <v>139</v>
      </c>
      <c r="B94" s="76"/>
      <c r="C94" s="76"/>
      <c r="D94" s="76"/>
      <c r="E94" s="76"/>
      <c r="F94" s="4">
        <f>F31</f>
        <v>0</v>
      </c>
      <c r="G94" s="1"/>
    </row>
    <row r="95" spans="1:7" x14ac:dyDescent="0.3">
      <c r="A95" s="76" t="s">
        <v>73</v>
      </c>
      <c r="B95" s="76"/>
      <c r="C95" s="76"/>
      <c r="D95" s="76"/>
      <c r="E95" s="76"/>
      <c r="F95" s="4">
        <f>F48</f>
        <v>0</v>
      </c>
      <c r="G95" s="1"/>
    </row>
    <row r="96" spans="1:7" x14ac:dyDescent="0.3">
      <c r="A96" s="76" t="s">
        <v>186</v>
      </c>
      <c r="B96" s="76"/>
      <c r="C96" s="76"/>
      <c r="D96" s="76"/>
      <c r="E96" s="76"/>
      <c r="F96" s="4">
        <f>F62</f>
        <v>0</v>
      </c>
      <c r="G96" s="1"/>
    </row>
    <row r="97" spans="1:7" ht="15" thickBot="1" x14ac:dyDescent="0.35">
      <c r="A97" s="87" t="s">
        <v>67</v>
      </c>
      <c r="B97" s="87"/>
      <c r="C97" s="87"/>
      <c r="D97" s="87"/>
      <c r="E97" s="87"/>
      <c r="F97" s="5">
        <f>F87</f>
        <v>0</v>
      </c>
      <c r="G97" s="2"/>
    </row>
    <row r="98" spans="1:7" ht="15" thickBot="1" x14ac:dyDescent="0.35">
      <c r="A98" s="90" t="s">
        <v>35</v>
      </c>
      <c r="B98" s="90"/>
      <c r="C98" s="90"/>
      <c r="D98" s="90"/>
      <c r="E98" s="21"/>
      <c r="F98" s="5">
        <f>SUM(F93:F97)</f>
        <v>0</v>
      </c>
      <c r="G98" s="2"/>
    </row>
  </sheetData>
  <protectedRanges>
    <protectedRange sqref="C3:C4" name="Formula Info"/>
  </protectedRanges>
  <mergeCells count="92">
    <mergeCell ref="A77:C77"/>
    <mergeCell ref="A76:C76"/>
    <mergeCell ref="A75:C75"/>
    <mergeCell ref="A74:C74"/>
    <mergeCell ref="A73:C73"/>
    <mergeCell ref="A82:C82"/>
    <mergeCell ref="A81:C81"/>
    <mergeCell ref="A80:C80"/>
    <mergeCell ref="A79:C79"/>
    <mergeCell ref="A78:C78"/>
    <mergeCell ref="A20:E20"/>
    <mergeCell ref="A28:B28"/>
    <mergeCell ref="A29:B29"/>
    <mergeCell ref="A30:B30"/>
    <mergeCell ref="A22:G22"/>
    <mergeCell ref="A23:B23"/>
    <mergeCell ref="A21:G21"/>
    <mergeCell ref="A72:C72"/>
    <mergeCell ref="A71:C71"/>
    <mergeCell ref="A70:C70"/>
    <mergeCell ref="A69:C69"/>
    <mergeCell ref="A31:E31"/>
    <mergeCell ref="A66:G66"/>
    <mergeCell ref="A68:C68"/>
    <mergeCell ref="A67:C67"/>
    <mergeCell ref="A62:E62"/>
    <mergeCell ref="A51:G51"/>
    <mergeCell ref="A65:G65"/>
    <mergeCell ref="A63:G63"/>
    <mergeCell ref="A53:G53"/>
    <mergeCell ref="A39:B39"/>
    <mergeCell ref="A40:B40"/>
    <mergeCell ref="A41:B41"/>
    <mergeCell ref="A5:G5"/>
    <mergeCell ref="A7:C7"/>
    <mergeCell ref="A9:C9"/>
    <mergeCell ref="A8:C8"/>
    <mergeCell ref="A10:C10"/>
    <mergeCell ref="A6:C6"/>
    <mergeCell ref="A11:C11"/>
    <mergeCell ref="A12:C12"/>
    <mergeCell ref="A13:C13"/>
    <mergeCell ref="A14:C14"/>
    <mergeCell ref="A17:C17"/>
    <mergeCell ref="A86:C86"/>
    <mergeCell ref="A84:C84"/>
    <mergeCell ref="A85:C85"/>
    <mergeCell ref="A83:C83"/>
    <mergeCell ref="A98:D98"/>
    <mergeCell ref="A92:D92"/>
    <mergeCell ref="A96:E96"/>
    <mergeCell ref="A97:E97"/>
    <mergeCell ref="A93:E93"/>
    <mergeCell ref="A94:E94"/>
    <mergeCell ref="A95:E95"/>
    <mergeCell ref="A91:G91"/>
    <mergeCell ref="A87:E87"/>
    <mergeCell ref="A88:G88"/>
    <mergeCell ref="A89:G89"/>
    <mergeCell ref="A90:G90"/>
    <mergeCell ref="A50:G50"/>
    <mergeCell ref="A49:G49"/>
    <mergeCell ref="A47:B47"/>
    <mergeCell ref="A4:G4"/>
    <mergeCell ref="A32:G32"/>
    <mergeCell ref="A42:B42"/>
    <mergeCell ref="A45:B45"/>
    <mergeCell ref="A46:B46"/>
    <mergeCell ref="A43:B43"/>
    <mergeCell ref="A44:B44"/>
    <mergeCell ref="A37:B37"/>
    <mergeCell ref="A38:B38"/>
    <mergeCell ref="A15:C15"/>
    <mergeCell ref="A16:C16"/>
    <mergeCell ref="A18:C18"/>
    <mergeCell ref="A19:C19"/>
    <mergeCell ref="A64:G64"/>
    <mergeCell ref="I1:L10"/>
    <mergeCell ref="A1:G1"/>
    <mergeCell ref="A2:B2"/>
    <mergeCell ref="A3:B3"/>
    <mergeCell ref="D3:G3"/>
    <mergeCell ref="A52:G52"/>
    <mergeCell ref="A24:B24"/>
    <mergeCell ref="A25:B25"/>
    <mergeCell ref="A26:B26"/>
    <mergeCell ref="A27:B27"/>
    <mergeCell ref="A33:G33"/>
    <mergeCell ref="A34:B34"/>
    <mergeCell ref="A35:B35"/>
    <mergeCell ref="A36:B36"/>
    <mergeCell ref="A48:E48"/>
  </mergeCells>
  <hyperlinks>
    <hyperlink ref="A68:B68" r:id="rId1" display="10mL Plastic Test Tube &amp; Cap (pH)" xr:uid="{808F2446-9C6D-4F2F-9795-0840B87FF976}"/>
    <hyperlink ref="A69:B69" r:id="rId2" display="Octa Slide 2 Viewer (pH)" xr:uid="{DACD22DB-1DED-45EC-B1DE-6CADD6543D61}"/>
    <hyperlink ref="A71:B71" r:id="rId3" display="150mL Plastic Beaker" xr:uid="{6342E257-9B7A-4092-AADC-24263103F0C2}"/>
    <hyperlink ref="A14:B14" r:id="rId4" display="One Gallon Bucket" xr:uid="{11C6F85C-87A3-4763-8EE5-4CAA33D10487}"/>
    <hyperlink ref="A15:B15" r:id="rId5" display="Squirt Bottle" xr:uid="{460FB6F3-6397-47CF-B2A3-6736DB173046}"/>
    <hyperlink ref="A17:B17" r:id="rId6" display="Waste Bin" xr:uid="{55ADDDF5-F718-429D-9E36-B343FEED62BC}"/>
    <hyperlink ref="A18:B18" r:id="rId7" display="Goggles" xr:uid="{B8667FEB-AD77-4E5C-B073-0C1640B0541F}"/>
    <hyperlink ref="A19:B19" r:id="rId8" display="Gloves" xr:uid="{5E31397F-7947-406B-9ACD-8D5B060F4719}"/>
    <hyperlink ref="A8:B8" r:id="rId9" display="60cm Transparency Tube " xr:uid="{9DD2F6FC-0890-49F7-9633-C5DA9D29236D}"/>
    <hyperlink ref="A9:B9" r:id="rId10" display="120cm Transparency Tube " xr:uid="{02F25EA8-B6E9-493A-A100-B39825B1EDD7}"/>
    <hyperlink ref="A10:B10" r:id="rId11" display="Wiffle Ball" xr:uid="{AF7A5B76-5AAE-4F49-906A-94B1895E77C1}"/>
    <hyperlink ref="A11:B11" r:id="rId12" display="Stopwatch" xr:uid="{60A5EE16-6749-4395-95BD-EBF78F04C842}"/>
    <hyperlink ref="A12:B12" r:id="rId13" display="Tape Measure" xr:uid="{E63B5321-DEDA-4224-B622-FDD2AB18DB47}"/>
    <hyperlink ref="A13:B13" r:id="rId14" display="Meter Stick" xr:uid="{DF5A9244-3E00-4F21-888B-E555023CB700}"/>
    <hyperlink ref="A77:B77" r:id="rId15" display="60cm Transparency Tube " xr:uid="{9AF86743-30C1-417C-9B9C-727D3E2DC727}"/>
    <hyperlink ref="A78:B78" r:id="rId16" display="120cm Transparency Tube " xr:uid="{B266ADA2-9CF7-4788-8F53-544714C3CAB8}"/>
    <hyperlink ref="A79:B79" r:id="rId17" display="Wiffle Ball" xr:uid="{E3376F24-1777-4862-8620-3DF9E153F852}"/>
    <hyperlink ref="A86:B86" r:id="rId18" display="Goggles" xr:uid="{3DB2E376-56C5-4214-9AE9-E5FB7F318AEF}"/>
    <hyperlink ref="A29" r:id="rId19" display="Distilled Water" xr:uid="{365A1B24-97D1-4DFC-953B-29EF7F5ED9F9}"/>
    <hyperlink ref="A60" r:id="rId20" display="Distilled Water" xr:uid="{21F978E7-B759-474E-9A4B-BA4C0D9D64CF}"/>
    <hyperlink ref="A27:B27" r:id="rId21" display="Filtration Aid Solution" xr:uid="{B1031B2A-FB9C-42E8-8645-8B78A148D6A0}"/>
    <hyperlink ref="A28:B28" r:id="rId22" display="Filter Paper" xr:uid="{A042DA7B-7F59-4997-9CD4-F3A15B33E14F}"/>
    <hyperlink ref="A58" r:id="rId23" display="Filtration Aid Solution" xr:uid="{7A9E5C61-52AE-4C4D-9CAC-8A45A5FCFDE8}"/>
    <hyperlink ref="A59" r:id="rId24" xr:uid="{76E75992-DAFB-4998-B2AC-6D1F13050EFA}"/>
    <hyperlink ref="A7:C7" r:id="rId25" display="Advanced Kit " xr:uid="{D8030CB1-D8BF-42F5-A1B4-D0F40CEBD96C}"/>
    <hyperlink ref="A24:B24" r:id="rId26" display="Nitrate #1 Tablets" xr:uid="{291B136C-C68E-4D3D-B649-D2A1DCC34CA0}"/>
    <hyperlink ref="A26:B26" r:id="rId27" display="Phosphate Strips" xr:uid="{503E603C-745A-40E9-83BD-B940E61CC01B}"/>
    <hyperlink ref="A25:B25" r:id="rId28" display="Nitrate #2 Tablets" xr:uid="{476D331E-B8DA-4904-9FF5-52415D05F855}"/>
    <hyperlink ref="A30:B30" r:id="rId29" display="Gloves" xr:uid="{B91351B5-393D-4BA0-85E5-64BF30B75076}"/>
    <hyperlink ref="A47:B47" r:id="rId30" display="Gloves" xr:uid="{B887D098-4E2B-4984-AE16-6BD481EFBC54}"/>
    <hyperlink ref="A61" r:id="rId31" xr:uid="{1548A2EB-5138-49B3-A160-2C5D6BA8088F}"/>
    <hyperlink ref="A35:B35" r:id="rId32" display="Advanced Kit " xr:uid="{DA39C350-833D-46CF-A713-3EF331593A3B}"/>
    <hyperlink ref="A55" r:id="rId33" xr:uid="{5CF22937-A63E-464A-831A-5B5EC64886DC}"/>
    <hyperlink ref="A56" r:id="rId34" xr:uid="{F37155F6-3C42-4165-97FC-83FFA61D1A3A}"/>
    <hyperlink ref="A57" r:id="rId35" xr:uid="{9CC0E689-1E7B-440F-A3AC-4CA777792E77}"/>
    <hyperlink ref="A36:B36" r:id="rId36" display="60cm Transparency Tube*" xr:uid="{0DD67043-113F-4647-89B9-20617A4CA937}"/>
    <hyperlink ref="A37:B37" r:id="rId37" display="120cm Transparency Tube*" xr:uid="{E99BD580-0AD9-4B5E-BC6F-7EEC6A39C54C}"/>
    <hyperlink ref="A38:B38" r:id="rId38" display="Wiffle Ball" xr:uid="{D3518E42-0CD0-4D91-B3E2-5A2929646019}"/>
    <hyperlink ref="A39:B39" r:id="rId39" display="Stopwatch**" xr:uid="{F7C843D8-B1AC-4DA5-BB39-C6D68FC17B3D}"/>
    <hyperlink ref="A40:B40" r:id="rId40" display="Tape Measure" xr:uid="{9C6BF79B-A2BD-48C1-B6F3-159016A80B2E}"/>
    <hyperlink ref="A41:B41" r:id="rId41" display="Aluminum Meter Stick**" xr:uid="{C73CFB57-6F4D-4D1F-8436-7A8D102524E5}"/>
    <hyperlink ref="A42:B42" r:id="rId42" display="One Gallon Bucket" xr:uid="{B9C6D759-16ED-42E6-BF1B-5B94FEAF5BD1}"/>
    <hyperlink ref="A45:B45" r:id="rId43" display="Waste Bin" xr:uid="{D6C45ECD-FBB3-464E-906A-5F6EF48E2E48}"/>
    <hyperlink ref="A44:B44" r:id="rId44" display="Distilled Water" xr:uid="{339FE37B-B37F-4F85-8341-DD97FBA4F2D8}"/>
    <hyperlink ref="A46:B46" r:id="rId45" display="Goggles" xr:uid="{F300B83E-F164-4B9B-B12F-1C7F05E547C2}"/>
    <hyperlink ref="A70:C70" r:id="rId46" display="Nitrate Octas Slide 2 Bar (N)" xr:uid="{91BE1626-6133-41A9-A147-38D04E573273}"/>
    <hyperlink ref="A72:C72" r:id="rId47" display="Plastic Funnal" xr:uid="{7C9017D6-A114-4B9C-9AF7-E91F0C8CAEEB}"/>
    <hyperlink ref="A73:C73" r:id="rId48" display="Glass Dropper*" xr:uid="{1BE8D2CE-053E-4460-A598-C79832E3715C}"/>
    <hyperlink ref="A75:C75" r:id="rId49" display="Mixing Bottle Caps**" xr:uid="{2265AF7D-C1FE-4BB6-ADD2-EAF80722D49E}"/>
    <hyperlink ref="A74:C74" r:id="rId50" display="Mixing Bottles**" xr:uid="{83E026A7-F304-43D9-AEEE-BA43AA96C162}"/>
    <hyperlink ref="A76:C76" r:id="rId51" display="Protective Sleeve " xr:uid="{147FD455-376D-472B-A502-73B3C5C27FEF}"/>
    <hyperlink ref="A9:C9" r:id="rId52" display="120cm Transparency Tube " xr:uid="{4BE6C1E8-5A1E-412A-AE31-275D1761F2F7}"/>
    <hyperlink ref="A78:C78" r:id="rId53" display="120cm Transparency Tube " xr:uid="{B380B9A0-FF41-4C61-A7B3-0991744D72DD}"/>
    <hyperlink ref="A8:C8" r:id="rId54" display="60cm Transparency Tube " xr:uid="{7F5F87AB-0FC2-4486-A6DC-116293D8B9E0}"/>
    <hyperlink ref="A77:C77" r:id="rId55" display="60cm Transparency Tube " xr:uid="{EA6355FD-BABD-44BA-B29A-995B5BBA4F3D}"/>
    <hyperlink ref="A43:B43" r:id="rId56" display="Squirt Bottle*" xr:uid="{7B07C4D6-4862-4B8B-9CEB-E8C867563721}"/>
    <hyperlink ref="A15:C15" r:id="rId57" display="Squirt Bottle" xr:uid="{4456CCE2-A668-44B2-B37A-C06EA6272776}"/>
    <hyperlink ref="A11:C11" r:id="rId58" display="Stopwatch" xr:uid="{5AB548AD-5245-4A05-8DFA-B602D8A9637C}"/>
    <hyperlink ref="A13:C13" r:id="rId59" display="Meter Stick" xr:uid="{7BF48B67-D396-4F21-B76B-774672ADB7D6}"/>
    <hyperlink ref="A83:B83" r:id="rId60" display="One Gallon Bucket" xr:uid="{225AC7ED-A5DD-4C5E-867E-64850D7BBEE8}"/>
    <hyperlink ref="A84:B84" r:id="rId61" display="Squirt Bottle" xr:uid="{357E1E7F-EB1E-45E3-8DAA-0C664F30B53A}"/>
    <hyperlink ref="A85:B85" r:id="rId62" display="Waste Bin" xr:uid="{DC638C6F-A039-4271-8E9E-427E9DB6B2ED}"/>
    <hyperlink ref="A80:B80" r:id="rId63" display="Stopwatch" xr:uid="{89BE22A2-9C70-4320-9E24-3D249355B88B}"/>
    <hyperlink ref="A81:B81" r:id="rId64" display="Tape Measure" xr:uid="{F39913F1-5C0D-4895-9D33-4D5E859BDE0E}"/>
    <hyperlink ref="A82:B82" r:id="rId65" display="Meter Stick" xr:uid="{89801DF2-0309-4596-9505-D01674C22D6C}"/>
    <hyperlink ref="A84:C84" r:id="rId66" display="Squirt Bottle" xr:uid="{13272C9F-514E-4BE4-B9A7-BFC5B7F92D27}"/>
    <hyperlink ref="A80:C80" r:id="rId67" display="Stopwatch" xr:uid="{A13791C8-67F0-4262-804F-2A66F6CA8DD2}"/>
    <hyperlink ref="A82:C82" r:id="rId68" display="Meter Stick" xr:uid="{A9E2C0BC-F36C-47CF-B21C-8B63C27D647B}"/>
    <hyperlink ref="A16:B16" r:id="rId69" display="Distilled Water" xr:uid="{07F140F4-8D3B-4BE2-AA49-D774486547D7}"/>
  </hyperlinks>
  <pageMargins left="0.7" right="0.7" top="0.75" bottom="0.75" header="0.3" footer="0.3"/>
  <legacyDrawing r:id="rId7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60D61-8EFC-4B96-B261-ED346C6DCCB5}">
  <dimension ref="A1:D14"/>
  <sheetViews>
    <sheetView workbookViewId="0">
      <selection activeCell="D11" sqref="D11"/>
    </sheetView>
  </sheetViews>
  <sheetFormatPr defaultRowHeight="14.4" x14ac:dyDescent="0.3"/>
  <cols>
    <col min="1" max="1" width="36.5546875" bestFit="1" customWidth="1"/>
    <col min="2" max="2" width="23.44140625" customWidth="1"/>
    <col min="3" max="3" width="19.6640625" customWidth="1"/>
    <col min="4" max="4" width="34.44140625" bestFit="1" customWidth="1"/>
  </cols>
  <sheetData>
    <row r="1" spans="1:4" x14ac:dyDescent="0.3">
      <c r="A1" s="73" t="s">
        <v>230</v>
      </c>
      <c r="B1" s="73"/>
      <c r="C1" s="73"/>
      <c r="D1" s="73"/>
    </row>
    <row r="2" spans="1:4" x14ac:dyDescent="0.3">
      <c r="A2" s="13" t="s">
        <v>226</v>
      </c>
      <c r="B2" s="19" t="s">
        <v>227</v>
      </c>
      <c r="C2" s="19" t="s">
        <v>228</v>
      </c>
      <c r="D2" s="13" t="s">
        <v>229</v>
      </c>
    </row>
    <row r="3" spans="1:4" x14ac:dyDescent="0.3">
      <c r="A3" s="1" t="s">
        <v>231</v>
      </c>
      <c r="B3" s="31" t="s">
        <v>239</v>
      </c>
      <c r="C3" s="31" t="s">
        <v>242</v>
      </c>
      <c r="D3" s="31" t="s">
        <v>248</v>
      </c>
    </row>
    <row r="4" spans="1:4" x14ac:dyDescent="0.3">
      <c r="A4" s="1" t="s">
        <v>232</v>
      </c>
      <c r="B4" s="31" t="s">
        <v>239</v>
      </c>
      <c r="C4" s="31" t="s">
        <v>242</v>
      </c>
      <c r="D4" s="31" t="s">
        <v>249</v>
      </c>
    </row>
    <row r="5" spans="1:4" x14ac:dyDescent="0.3">
      <c r="A5" s="1" t="s">
        <v>233</v>
      </c>
      <c r="B5" s="31" t="s">
        <v>239</v>
      </c>
      <c r="C5" s="31" t="s">
        <v>242</v>
      </c>
      <c r="D5" s="31" t="s">
        <v>250</v>
      </c>
    </row>
    <row r="6" spans="1:4" x14ac:dyDescent="0.3">
      <c r="A6" s="1" t="s">
        <v>234</v>
      </c>
      <c r="B6" s="31" t="s">
        <v>239</v>
      </c>
      <c r="C6" s="31" t="s">
        <v>242</v>
      </c>
      <c r="D6" s="31" t="s">
        <v>251</v>
      </c>
    </row>
    <row r="7" spans="1:4" x14ac:dyDescent="0.3">
      <c r="A7" s="1" t="s">
        <v>235</v>
      </c>
      <c r="B7" s="31" t="s">
        <v>239</v>
      </c>
      <c r="C7" s="31" t="s">
        <v>243</v>
      </c>
      <c r="D7" s="31" t="s">
        <v>252</v>
      </c>
    </row>
    <row r="8" spans="1:4" x14ac:dyDescent="0.3">
      <c r="A8" s="1" t="s">
        <v>236</v>
      </c>
      <c r="B8" s="31" t="s">
        <v>239</v>
      </c>
      <c r="C8" s="31" t="s">
        <v>242</v>
      </c>
      <c r="D8" s="31" t="s">
        <v>253</v>
      </c>
    </row>
    <row r="9" spans="1:4" x14ac:dyDescent="0.3">
      <c r="A9" s="1" t="s">
        <v>9</v>
      </c>
      <c r="B9" s="31" t="s">
        <v>240</v>
      </c>
      <c r="C9" s="31" t="s">
        <v>244</v>
      </c>
      <c r="D9" s="31" t="s">
        <v>281</v>
      </c>
    </row>
    <row r="10" spans="1:4" x14ac:dyDescent="0.3">
      <c r="A10" s="1" t="s">
        <v>237</v>
      </c>
      <c r="B10" s="31" t="s">
        <v>274</v>
      </c>
      <c r="C10" s="31" t="s">
        <v>244</v>
      </c>
      <c r="D10" s="31" t="s">
        <v>281</v>
      </c>
    </row>
    <row r="11" spans="1:4" x14ac:dyDescent="0.3">
      <c r="A11" s="1" t="s">
        <v>26</v>
      </c>
      <c r="B11" s="31" t="s">
        <v>241</v>
      </c>
      <c r="C11" s="31" t="s">
        <v>245</v>
      </c>
      <c r="D11" s="31" t="s">
        <v>254</v>
      </c>
    </row>
    <row r="12" spans="1:4" x14ac:dyDescent="0.3">
      <c r="A12" s="1" t="s">
        <v>27</v>
      </c>
      <c r="B12" s="31" t="s">
        <v>241</v>
      </c>
      <c r="C12" s="31" t="s">
        <v>245</v>
      </c>
      <c r="D12" s="31" t="s">
        <v>254</v>
      </c>
    </row>
    <row r="13" spans="1:4" x14ac:dyDescent="0.3">
      <c r="A13" s="1" t="s">
        <v>238</v>
      </c>
      <c r="B13" s="31" t="s">
        <v>241</v>
      </c>
      <c r="C13" s="31" t="s">
        <v>246</v>
      </c>
      <c r="D13" s="31" t="s">
        <v>255</v>
      </c>
    </row>
    <row r="14" spans="1:4" ht="15" thickBot="1" x14ac:dyDescent="0.35">
      <c r="A14" s="2" t="s">
        <v>29</v>
      </c>
      <c r="B14" s="34" t="s">
        <v>241</v>
      </c>
      <c r="C14" s="34" t="s">
        <v>247</v>
      </c>
      <c r="D14" s="34" t="s">
        <v>256</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Standard Core</vt:lpstr>
      <vt:lpstr>Probe Core</vt:lpstr>
      <vt:lpstr>E. coli Bacteria</vt:lpstr>
      <vt:lpstr>Optical Brightener</vt:lpstr>
      <vt:lpstr>Advanced</vt:lpstr>
      <vt:lpstr>Reagent Longevity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Vermeersch</dc:creator>
  <cp:lastModifiedBy>Anu Vermeersch</cp:lastModifiedBy>
  <dcterms:created xsi:type="dcterms:W3CDTF">2025-03-26T19:07:06Z</dcterms:created>
  <dcterms:modified xsi:type="dcterms:W3CDTF">2026-01-28T22:26:31Z</dcterms:modified>
</cp:coreProperties>
</file>